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Ekler" sheetId="1" state="visible" r:id="rId3"/>
    <sheet name="Parametreler" sheetId="2" state="visible" r:id="rId4"/>
    <sheet name="Ek-1" sheetId="3" state="visible" r:id="rId5"/>
    <sheet name="Ek-2" sheetId="4" state="visible" r:id="rId6"/>
    <sheet name="Ek-3" sheetId="5" state="visible" r:id="rId7"/>
    <sheet name="Ek-4" sheetId="6" state="visible" r:id="rId8"/>
    <sheet name="Ek-5" sheetId="7" state="visible" r:id="rId9"/>
    <sheet name="Ek-6" sheetId="8" state="visible" r:id="rId10"/>
    <sheet name="Ek-7" sheetId="9" state="visible" r:id="rId11"/>
    <sheet name="Ek-8" sheetId="10" state="visible" r:id="rId12"/>
    <sheet name="Ek-9" sheetId="11" state="visible" r:id="rId13"/>
    <sheet name="Ek-10" sheetId="12" state="visible" r:id="rId14"/>
    <sheet name="Ek-11" sheetId="13" state="visible" r:id="rId15"/>
    <sheet name="Ek-12" sheetId="14" state="visible" r:id="rId16"/>
    <sheet name="Ek-13" sheetId="15" state="visible" r:id="rId17"/>
    <sheet name="Ek-14" sheetId="16" state="visible" r:id="rId1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<sst xmlns="http://schemas.openxmlformats.org/spreadsheetml/2006/main" count="1132" uniqueCount="831">
  <si>
    <t xml:space="preserve">2026 İndirim ve İstisnalar Uygulama Rehberi – Ekler (Çalışma Kâğıtları)</t>
  </si>
  <si>
    <t xml:space="preserve">AT Yeminli Mali Müşavirlik · Ali Taylan – YMM · Tasdik raporu hazırlığı için bağlantılı çalışma kâğıtları · Sürüm: 30.10.2026</t>
  </si>
  <si>
    <t xml:space="preserve">Ek no</t>
  </si>
  <si>
    <t xml:space="preserve">Tablo</t>
  </si>
  <si>
    <t xml:space="preserve">Rehber bölümü</t>
  </si>
  <si>
    <t xml:space="preserve">Git</t>
  </si>
  <si>
    <t xml:space="preserve">Parametreler</t>
  </si>
  <si>
    <t xml:space="preserve">Oranlar, tasdik hadleri ve süreler (tüm eklerde ortak)</t>
  </si>
  <si>
    <t xml:space="preserve">1.3.</t>
  </si>
  <si>
    <t xml:space="preserve">Tabloya git →</t>
  </si>
  <si>
    <t xml:space="preserve">Ek-1</t>
  </si>
  <si>
    <t xml:space="preserve">Mükellef Genel Bilgi Formu ve Ortak Belge Kontrol Listesi</t>
  </si>
  <si>
    <t xml:space="preserve">4.1.</t>
  </si>
  <si>
    <t xml:space="preserve">Ek-2</t>
  </si>
  <si>
    <t xml:space="preserve">Beyanname Satırı – Kanun Maddesi Eşleştirme, Tasdik Eşiği ve KKEG Listesi</t>
  </si>
  <si>
    <t xml:space="preserve">Ek-3</t>
  </si>
  <si>
    <t xml:space="preserve">Faaliyet Bazlı Gelir-Gider, Ortak Gider Dağıtımı ve Ticari Bilanço Kârı Mutabakatı</t>
  </si>
  <si>
    <t xml:space="preserve">4.2., 4.3., 4.5.</t>
  </si>
  <si>
    <t xml:space="preserve">Ek-4</t>
  </si>
  <si>
    <t xml:space="preserve">Hizmet İhracı İndirim Hesabı ve Fatura–Tahsilat–Transfer Takibi</t>
  </si>
  <si>
    <t xml:space="preserve">4.2.</t>
  </si>
  <si>
    <t xml:space="preserve">Ek-5</t>
  </si>
  <si>
    <t xml:space="preserve">İhracat ve Üretim Kazançlarında İndirimli Kurumlar Vergisi Hesabı</t>
  </si>
  <si>
    <t xml:space="preserve">4.3.</t>
  </si>
  <si>
    <t xml:space="preserve">Ek-6</t>
  </si>
  <si>
    <t xml:space="preserve">Ar-Ge ve Tasarım İndirimi Hesabı ve %3 Girişim Sermayesi Yükümlülüğü</t>
  </si>
  <si>
    <t xml:space="preserve">4.4.</t>
  </si>
  <si>
    <t xml:space="preserve">Ek-7</t>
  </si>
  <si>
    <t xml:space="preserve">Teknoloji Geliştirme Bölgesi Proje Bazlı Kazanç ve İstisna Hesabı</t>
  </si>
  <si>
    <t xml:space="preserve">4.5.</t>
  </si>
  <si>
    <t xml:space="preserve">Ek-8</t>
  </si>
  <si>
    <t xml:space="preserve">Yatırım Teşvik Belgesi – Yatırıma Katkı Kullanımı, Yanan ve Devreden Tutar Takibi</t>
  </si>
  <si>
    <t xml:space="preserve">4.6.</t>
  </si>
  <si>
    <t xml:space="preserve">Ek-9</t>
  </si>
  <si>
    <t xml:space="preserve">Nakdi Sermaye Artışı Faiz İndirimi Hesabı</t>
  </si>
  <si>
    <t xml:space="preserve">4.7.</t>
  </si>
  <si>
    <t xml:space="preserve">Ek-10</t>
  </si>
  <si>
    <t xml:space="preserve">Taşınmaz ve İştirak Hissesi Satış Kazancı İstisnası – Şart Kontrolü ve Hesap</t>
  </si>
  <si>
    <t xml:space="preserve">4.8.</t>
  </si>
  <si>
    <t xml:space="preserve">Ek-11</t>
  </si>
  <si>
    <t xml:space="preserve">İştirak Kazançları İstisnası – Yurt İçi ve Yurt Dışı (Genel %100 / 11257 s. CBK %80)</t>
  </si>
  <si>
    <t xml:space="preserve">4.9.</t>
  </si>
  <si>
    <t xml:space="preserve">Ek-12</t>
  </si>
  <si>
    <t xml:space="preserve">Bağış ve Sponsorluk İndirim Sınırı Hesabı</t>
  </si>
  <si>
    <t xml:space="preserve">4.10.</t>
  </si>
  <si>
    <t xml:space="preserve">Ek-13</t>
  </si>
  <si>
    <t xml:space="preserve">Yurt İçi Asgari Kurumlar Vergisi Hesap Tablosu</t>
  </si>
  <si>
    <t xml:space="preserve">4.11.</t>
  </si>
  <si>
    <t xml:space="preserve">Ek-14</t>
  </si>
  <si>
    <t xml:space="preserve">Matrah Hesabı, İndirim ve İstisnaların Vergiye Etkisi ve Devreden Tutarlar</t>
  </si>
  <si>
    <t xml:space="preserve">Veri akışı</t>
  </si>
  <si>
    <t xml:space="preserve">→</t>
  </si>
  <si>
    <t xml:space="preserve">Ek-1 (mükellef) ve Parametreler → tüm ekler</t>
  </si>
  <si>
    <t xml:space="preserve">Ek-3 faaliyet bazlı kazançlar → Ek-4 (hizmet ihracı), Ek-5 (ihracat / üretim), Ek-7 (teknokent); Ek-3 ticari bilanço kârı → Ek-5, Ek-13, Ek-14</t>
  </si>
  <si>
    <t xml:space="preserve">Ek-4, Ek-6, Ek-7, Ek-9, Ek-10, Ek-11, Ek-12 → Ek-14 (beyanname sırasıyla matrah) → Ek-5 (vergi) → Ek-8 (32/A kullanımı) → Ek-13 (asgari vergi) → Ek-14 (vergiye etki)</t>
  </si>
  <si>
    <t xml:space="preserve">Ek-2 KKEG ve tasdik eşiği kontrolü tutarları Ek-14 ve Ek-12’den otomatik alır</t>
  </si>
  <si>
    <t xml:space="preserve">Kontrol paneli (tümü “Uyumlu / Tamam” olmalıdır)</t>
  </si>
  <si>
    <t xml:space="preserve">Ortak giderlerin tamamı dağıtıldı</t>
  </si>
  <si>
    <t xml:space="preserve">Ticari bilanço kârı = gelir tablosu</t>
  </si>
  <si>
    <t xml:space="preserve">Hizmet ihracı faturaları = Ek-3 hasılatı</t>
  </si>
  <si>
    <t xml:space="preserve">Transfer = fatura (döviz)</t>
  </si>
  <si>
    <t xml:space="preserve">Teknokent hasılatı = Ek-3</t>
  </si>
  <si>
    <t xml:space="preserve">Teknokent kazancı = Ek-3</t>
  </si>
  <si>
    <t xml:space="preserve">32/A fiili kullanım ≤ kullanılabilir (tüm dönemler)</t>
  </si>
  <si>
    <t xml:space="preserve">Tasdik sonucu</t>
  </si>
  <si>
    <t xml:space="preserve">Renk açıklaması</t>
  </si>
  <si>
    <t xml:space="preserve">Sarı dolgu, mavi yazı</t>
  </si>
  <si>
    <t xml:space="preserve">Veri giriş hücresi</t>
  </si>
  <si>
    <t xml:space="preserve">Siyah yazı</t>
  </si>
  <si>
    <t xml:space="preserve">Formül – değiştirmeyin</t>
  </si>
  <si>
    <t xml:space="preserve">Tüm tablolar tek bir örnek mükellef (Örnek Teknoloji ve Mühendislik A.Ş., 2026 hesap dönemi) üzerinden birbirine bağlıdır; kendi mükellefiniz için mavi hücreleri değiştirdiğinizde hesaplar zincirleme güncellenir. Oran ve eşikler 30.10.2026 itibarıyla mevzuata göredir. Tablolar çalışma kâğıdı niteliğindedir; tasdik raporundaki nihai hesaplamalar ilgili mevzuat ve belgelere göre ayrıca kontrol edilmelidir.</t>
  </si>
  <si>
    <t xml:space="preserve">Parametreler · Oranlar, Eşikler ve Süreler</t>
  </si>
  <si>
    <t xml:space="preserve">Tüm eklerde kullanılan ortak değerler · 30.10.2026 itibarıyla mevzuat</t>
  </si>
  <si>
    <t xml:space="preserve">Sarı dolgulu, mavi yazılı hücreler veri girişi içindir; siyah yazılı hücreler formüldür. İlk satırlar örnek değerlerdir, kendi verilerinizle değiştirin.</t>
  </si>
  <si>
    <t xml:space="preserve">A. Genel bilgiler</t>
  </si>
  <si>
    <t xml:space="preserve">Hesap dönemi (yıl)</t>
  </si>
  <si>
    <t xml:space="preserve">Mükellef türü (Ek-1’den)</t>
  </si>
  <si>
    <t xml:space="preserve">Kurumlar vergisi genel oranı</t>
  </si>
  <si>
    <t xml:space="preserve">KVK md. 32/1</t>
  </si>
  <si>
    <t xml:space="preserve">Yurt içi asgari kurumlar vergisi oranı</t>
  </si>
  <si>
    <t xml:space="preserve">KVK md. 32/C</t>
  </si>
  <si>
    <t xml:space="preserve">İşe başlama / kuruluş tarihi (Ek-1’den)</t>
  </si>
  <si>
    <t xml:space="preserve">Faaliyete başlanılan dönem dahil ilk üç hesap dönemi içinde mi?</t>
  </si>
  <si>
    <t xml:space="preserve">Evet ise asgari KV uygulanmaz</t>
  </si>
  <si>
    <t xml:space="preserve">Yıllık beyanname son günü (takvim yılı)</t>
  </si>
  <si>
    <t xml:space="preserve">Transfer şartları için de son gündür</t>
  </si>
  <si>
    <t xml:space="preserve">49 Sıra No.lu Tebliğ tasdik raporu son günü</t>
  </si>
  <si>
    <t xml:space="preserve">Beyanname süresini izleyen 2 ay</t>
  </si>
  <si>
    <t xml:space="preserve">B. 49 Sıra No.lu Tebliğ tasdik hadleri</t>
  </si>
  <si>
    <t xml:space="preserve">Hadlerin güncellenmesinde esas alınacak yeniden değerleme oranı (YDO)</t>
  </si>
  <si>
    <t xml:space="preserve">İlan edilen oranı girin; 0 iken 2025 tutarları kullanılır</t>
  </si>
  <si>
    <t xml:space="preserve">Had</t>
  </si>
  <si>
    <t xml:space="preserve">2025 hesap dönemi beyannameleri (Tebliğ)</t>
  </si>
  <si>
    <t xml:space="preserve">Uygulanan had</t>
  </si>
  <si>
    <t xml:space="preserve">Açıklama</t>
  </si>
  <si>
    <t xml:space="preserve">Ayrı satırdaki tek bir istisna / indirim</t>
  </si>
  <si>
    <t xml:space="preserve">Aşılırsa o kalem tasdike tabidir</t>
  </si>
  <si>
    <t xml:space="preserve">Tablodaki kalemlerin toplamı ve “Diğer” satırları</t>
  </si>
  <si>
    <t xml:space="preserve">Aşılırsa tümü tasdike tabidir</t>
  </si>
  <si>
    <t xml:space="preserve">İhracat / üretim indirimli oranı nedeniyle yararlanılan indirim</t>
  </si>
  <si>
    <t xml:space="preserve">KVK md. 32/7-8</t>
  </si>
  <si>
    <t xml:space="preserve">Tabloda yer verilen tutarlar 2025 yılı gelir ve kurumlar vergisi beyannameleri bakımından geçerli hadlerdir. 2026 hesap dönemi kazançlarına ilişkin beyannamelerde uygulanacak hadler, Tebliğ uyarınca yeniden değerleme oranının yarısı oranında artırılarak (10.000 TL’yi aşmayan kısımlar dikkate alınmadan) hesaplanır; ilan edilen güncel tutarlar esas alınarak kontrol edilmelidir. KVK md. 32/A ve asgari vergi uygulamalarında tutar sınırı aranmaz.</t>
  </si>
  <si>
    <t xml:space="preserve">C. İndirim ve istisnalara ilişkin oranlar</t>
  </si>
  <si>
    <t xml:space="preserve">Ar-Ge / tasarım indirimi ve teknokent istisnasında %3 yükümlülük alt sınırı (her biri ayrı)</t>
  </si>
  <si>
    <t xml:space="preserve">10803 sayılı CBK (1.1.2026’dan itibaren)</t>
  </si>
  <si>
    <t xml:space="preserve">Girişim sermayesi yükümlülük oranı</t>
  </si>
  <si>
    <t xml:space="preserve">5746 s. K. md. 3/14 · 4691 s. K. ek md. 3</t>
  </si>
  <si>
    <t xml:space="preserve">Yıllık yükümlülük üst sınırı</t>
  </si>
  <si>
    <t xml:space="preserve">10803 sayılı CBK</t>
  </si>
  <si>
    <t xml:space="preserve">Yükümlülük yerine getirilmezse yararlanılamayacak oran</t>
  </si>
  <si>
    <t xml:space="preserve">İlgili yılda yararlanılan indirim / istisnanın %20’si</t>
  </si>
  <si>
    <t xml:space="preserve">Devreden Ar-Ge indiriminin endekslenmesinde YDO</t>
  </si>
  <si>
    <t xml:space="preserve">585 Sıra No.lu VUK GT (2025 yılı için %25,49)</t>
  </si>
  <si>
    <t xml:space="preserve">TCMB TL ticari kredi faiz oranı (nakdi sermaye)</t>
  </si>
  <si>
    <t xml:space="preserve">2025 için %45,34 – 2026 oranı açıklanınca güncelleyin</t>
  </si>
  <si>
    <t xml:space="preserve">Hizmet ihracı kazanç indirimi oranı</t>
  </si>
  <si>
    <t xml:space="preserve">11257 sayılı CBK (1.1.2026’dan itibaren)</t>
  </si>
  <si>
    <t xml:space="preserve">İştirak hissesi satış kazancı istisnası (27.11.2024 ve sonrası satışlar)</t>
  </si>
  <si>
    <t xml:space="preserve">9160 sayılı CBK</t>
  </si>
  <si>
    <t xml:space="preserve">İştirak hissesi satış kazancı istisnası (27.11.2024 öncesi satışlar)</t>
  </si>
  <si>
    <t xml:space="preserve">KVK md. 5/1-e</t>
  </si>
  <si>
    <t xml:space="preserve">Taşınmaz satış kazancı istisnası (15.7.2023 öncesi edinilenler)</t>
  </si>
  <si>
    <t xml:space="preserve">KVK geçici md. 16</t>
  </si>
  <si>
    <t xml:space="preserve">Yurt dışı iştirak kazancı – KVK 5/1-b 3. paragraf istisna oranı</t>
  </si>
  <si>
    <t xml:space="preserve">11257 sayılı CBK</t>
  </si>
  <si>
    <t xml:space="preserve">KVK 5/1-b 3. paragraf için asgari sermaye payı</t>
  </si>
  <si>
    <t xml:space="preserve">KVK 5/1-b genel istisna için asgari sermaye payı</t>
  </si>
  <si>
    <t xml:space="preserve">KVK md. 5/1-b</t>
  </si>
  <si>
    <t xml:space="preserve">KVK 5/1-b genel istisna için asgari vergi yükü (genel)</t>
  </si>
  <si>
    <t xml:space="preserve">Esas faaliyete göre daha yüksek oran aranabilir</t>
  </si>
  <si>
    <t xml:space="preserve">Bağış ve yardım sınırı</t>
  </si>
  <si>
    <t xml:space="preserve">KVK md. 10/1-c</t>
  </si>
  <si>
    <t xml:space="preserve">Profesyonel spor sponsorluğu indirim oranı</t>
  </si>
  <si>
    <t xml:space="preserve">KVK md. 10/1-b</t>
  </si>
  <si>
    <t xml:space="preserve">İhracat kazancı oran indirimi (puan)</t>
  </si>
  <si>
    <t xml:space="preserve">KVK md. 32/7</t>
  </si>
  <si>
    <t xml:space="preserve">Üretim kazancı oran indirimi (puan) – 2026</t>
  </si>
  <si>
    <t xml:space="preserve">KVK md. 32/8 (2027’den itibaren 12,5 puan indirim)</t>
  </si>
  <si>
    <t xml:space="preserve">Ek-1 · Mükellef Genel Bilgi Formu ve Ortak Belge Kontrol Listesi</t>
  </si>
  <si>
    <t xml:space="preserve">Rehber Bölüm 4.1. · 49 Sıra No.lu Tebliğ eki rapor dispozisyonu: I. Genel Bilgi ve II. Usul İncelemeleri</t>
  </si>
  <si>
    <t xml:space="preserve">A. Kimlik ve mükellefiyet bilgileri</t>
  </si>
  <si>
    <t xml:space="preserve">Adı soyadı / unvanı</t>
  </si>
  <si>
    <t xml:space="preserve">Örnek Teknoloji ve Mühendislik A.Ş.</t>
  </si>
  <si>
    <t xml:space="preserve">Vergi dairesi / VKN – TCKN</t>
  </si>
  <si>
    <t xml:space="preserve">Örnek V.D. / 0000000000</t>
  </si>
  <si>
    <t xml:space="preserve">Ticaret sicil müdürlüğü ve sicil no</t>
  </si>
  <si>
    <t xml:space="preserve">İstanbul / 000000</t>
  </si>
  <si>
    <t xml:space="preserve">Faaliyet konusu (NACE kodu ve açıklaması)</t>
  </si>
  <si>
    <t xml:space="preserve">711202 – Mühendislik faaliyetleri ve teknik danışmanlık</t>
  </si>
  <si>
    <t xml:space="preserve">İşe başlama tarihi</t>
  </si>
  <si>
    <t xml:space="preserve">Kanuni merkez adresi</t>
  </si>
  <si>
    <t xml:space="preserve">… / İstanbul</t>
  </si>
  <si>
    <t xml:space="preserve">Telefon / e-posta</t>
  </si>
  <si>
    <t xml:space="preserve">…</t>
  </si>
  <si>
    <t xml:space="preserve">Mükellefiyet türü</t>
  </si>
  <si>
    <t xml:space="preserve">Kurumlar vergisi</t>
  </si>
  <si>
    <t xml:space="preserve">Hesap dönemi</t>
  </si>
  <si>
    <t xml:space="preserve">01.01.2026 – 31.12.2026</t>
  </si>
  <si>
    <t xml:space="preserve">Esas / ödenmiş sermaye (TL)</t>
  </si>
  <si>
    <t xml:space="preserve">25.000.000 / 25.000.000</t>
  </si>
  <si>
    <t xml:space="preserve">B. Ortaklar ve yönetim</t>
  </si>
  <si>
    <t xml:space="preserve">TCKN / VKN</t>
  </si>
  <si>
    <t xml:space="preserve">Adres</t>
  </si>
  <si>
    <t xml:space="preserve">Pay tutarı (TL)</t>
  </si>
  <si>
    <t xml:space="preserve">Pay oranı</t>
  </si>
  <si>
    <t xml:space="preserve">Görevi (YK üyesi / müdür vb.)</t>
  </si>
  <si>
    <t xml:space="preserve">Not</t>
  </si>
  <si>
    <t xml:space="preserve">Ortak A</t>
  </si>
  <si>
    <t xml:space="preserve">***</t>
  </si>
  <si>
    <t xml:space="preserve">İstanbul</t>
  </si>
  <si>
    <t xml:space="preserve">Yönetim kurulu başkanı</t>
  </si>
  <si>
    <t xml:space="preserve">Ortak B</t>
  </si>
  <si>
    <t xml:space="preserve">Yönetim kurulu üyesi</t>
  </si>
  <si>
    <t xml:space="preserve">Toplam</t>
  </si>
  <si>
    <t xml:space="preserve">C. Şube, depo ve diğer işyerleri</t>
  </si>
  <si>
    <t xml:space="preserve">Türü (şube / depo / irtibat bürosu / teknokent ofisi)</t>
  </si>
  <si>
    <t xml:space="preserve">Açılış tarihi</t>
  </si>
  <si>
    <t xml:space="preserve">Kira / mülkiyet</t>
  </si>
  <si>
    <t xml:space="preserve">Teknokent ofisi</t>
  </si>
  <si>
    <t xml:space="preserve">Kira</t>
  </si>
  <si>
    <t xml:space="preserve">D. Aylık personel sayısı (SGK hizmet listelerine göre)</t>
  </si>
  <si>
    <t xml:space="preserve">Ay</t>
  </si>
  <si>
    <t xml:space="preserve">Toplam çalışan</t>
  </si>
  <si>
    <t xml:space="preserve">İndirim / istisna kapsamındaki faaliyette çalışan</t>
  </si>
  <si>
    <t xml:space="preserve">Ocak</t>
  </si>
  <si>
    <t xml:space="preserve">Şubat</t>
  </si>
  <si>
    <t xml:space="preserve">Mart</t>
  </si>
  <si>
    <t xml:space="preserve">Nisan</t>
  </si>
  <si>
    <t xml:space="preserve">Mayıs</t>
  </si>
  <si>
    <t xml:space="preserve">Haziran</t>
  </si>
  <si>
    <t xml:space="preserve">Temmuz</t>
  </si>
  <si>
    <t xml:space="preserve">Ağustos</t>
  </si>
  <si>
    <t xml:space="preserve">Eylül</t>
  </si>
  <si>
    <t xml:space="preserve">Ekim</t>
  </si>
  <si>
    <t xml:space="preserve">Kasım</t>
  </si>
  <si>
    <t xml:space="preserve">Aralık</t>
  </si>
  <si>
    <t xml:space="preserve">Ortalama</t>
  </si>
  <si>
    <t xml:space="preserve">E. Teşvik, sanayi ve diğer belgeler (varsa)</t>
  </si>
  <si>
    <t xml:space="preserve">Belge türü</t>
  </si>
  <si>
    <t xml:space="preserve">Tarih</t>
  </si>
  <si>
    <t xml:space="preserve">Sayı / no</t>
  </si>
  <si>
    <t xml:space="preserve">Geçerlilik / bitiş</t>
  </si>
  <si>
    <t xml:space="preserve">Konusu / özet</t>
  </si>
  <si>
    <t xml:space="preserve">Yatırım teşvik belgesi</t>
  </si>
  <si>
    <t xml:space="preserve">Sanayi sicil belgesi</t>
  </si>
  <si>
    <t xml:space="preserve">Kapasite raporu</t>
  </si>
  <si>
    <t xml:space="preserve">Ar-Ge / tasarım merkezi belgesi</t>
  </si>
  <si>
    <t xml:space="preserve">Teknokent yönetici şirket yazısı</t>
  </si>
  <si>
    <t xml:space="preserve">F. Yasal defterler ve e-defter beratları</t>
  </si>
  <si>
    <t xml:space="preserve">Defter türü</t>
  </si>
  <si>
    <t xml:space="preserve">Tasdik makamı / e-defter</t>
  </si>
  <si>
    <t xml:space="preserve">Dönem</t>
  </si>
  <si>
    <t xml:space="preserve">Tasdik / berat tarihi</t>
  </si>
  <si>
    <t xml:space="preserve">Tasdik / berat no</t>
  </si>
  <si>
    <t xml:space="preserve">Yevmiye defteri</t>
  </si>
  <si>
    <t xml:space="preserve">e-Defter</t>
  </si>
  <si>
    <t xml:space="preserve">01/2026</t>
  </si>
  <si>
    <t xml:space="preserve">Muhasebe programı</t>
  </si>
  <si>
    <t xml:space="preserve">G. Beyannamelerin süresinde verilip verilmediği</t>
  </si>
  <si>
    <t xml:space="preserve">Beyanname türü</t>
  </si>
  <si>
    <t xml:space="preserve">Son gün</t>
  </si>
  <si>
    <t xml:space="preserve">Verilme tarihi</t>
  </si>
  <si>
    <t xml:space="preserve">Süresinde mi?</t>
  </si>
  <si>
    <t xml:space="preserve">Tahakkuk no</t>
  </si>
  <si>
    <t xml:space="preserve">Yıllık KV / GV beyannamesi</t>
  </si>
  <si>
    <t xml:space="preserve">2026</t>
  </si>
  <si>
    <t xml:space="preserve">Geçici vergi beyannamesi</t>
  </si>
  <si>
    <t xml:space="preserve">2026/1</t>
  </si>
  <si>
    <t xml:space="preserve">2026/2</t>
  </si>
  <si>
    <t xml:space="preserve">2026/3</t>
  </si>
  <si>
    <t xml:space="preserve">KDV beyannameleri</t>
  </si>
  <si>
    <t xml:space="preserve">2026 (12 ay)</t>
  </si>
  <si>
    <t xml:space="preserve">Muhtasar ve prim hizmet beyannameleri</t>
  </si>
  <si>
    <t xml:space="preserve">H. Muhasebeden sorumlu olanlar</t>
  </si>
  <si>
    <t xml:space="preserve">Adı soyadı</t>
  </si>
  <si>
    <t xml:space="preserve">Unvanı (SMMM / YMM / çalışan)</t>
  </si>
  <si>
    <t xml:space="preserve">Bağlı olduğu oda ve sicil no</t>
  </si>
  <si>
    <t xml:space="preserve">TCKN</t>
  </si>
  <si>
    <t xml:space="preserve">Sözleşme tarihi</t>
  </si>
  <si>
    <t xml:space="preserve">Örnek Meslektaş</t>
  </si>
  <si>
    <t xml:space="preserve">SMMM</t>
  </si>
  <si>
    <t xml:space="preserve">I. Ortak belge kontrol listesi (her tasdik raporu için)</t>
  </si>
  <si>
    <t xml:space="preserve">Belge</t>
  </si>
  <si>
    <t xml:space="preserve">Rapordaki yeri</t>
  </si>
  <si>
    <t xml:space="preserve">Kimden temin edilir</t>
  </si>
  <si>
    <t xml:space="preserve">Talep tarihi</t>
  </si>
  <si>
    <t xml:space="preserve">Geldi mi? (E/H)</t>
  </si>
  <si>
    <t xml:space="preserve">Durum</t>
  </si>
  <si>
    <t xml:space="preserve">Vergi levhası</t>
  </si>
  <si>
    <t xml:space="preserve">Genel Bilgi / Ek</t>
  </si>
  <si>
    <t xml:space="preserve">Mükellef / GİB</t>
  </si>
  <si>
    <t xml:space="preserve">E</t>
  </si>
  <si>
    <t xml:space="preserve">Faaliyet belgesi (ticaret veya meslek odası kaydı)</t>
  </si>
  <si>
    <t xml:space="preserve">Mükellef</t>
  </si>
  <si>
    <t xml:space="preserve">Ticaret Sicili Gazeteleri (kuruluş, sermaye, adres ve yönetim değişiklikleri)</t>
  </si>
  <si>
    <t xml:space="preserve">Genel Bilgi</t>
  </si>
  <si>
    <t xml:space="preserve">Mükellef / MERSİS</t>
  </si>
  <si>
    <t xml:space="preserve">Güncel ana sözleşme (esas faaliyet konusu)</t>
  </si>
  <si>
    <t xml:space="preserve">Genel Bilgi / Hesap İncelemesi</t>
  </si>
  <si>
    <t xml:space="preserve">İmza sirküleri</t>
  </si>
  <si>
    <t xml:space="preserve">Ek</t>
  </si>
  <si>
    <t xml:space="preserve">Pay defteri / ortaklar listesi ve yönetim kurulu bilgileri</t>
  </si>
  <si>
    <t xml:space="preserve">Yıllık KV / GV beyannamesi ve tahakkuk fişi</t>
  </si>
  <si>
    <t xml:space="preserve">Usul İncelemesi / Ek</t>
  </si>
  <si>
    <t xml:space="preserve">Mali müşavir</t>
  </si>
  <si>
    <t xml:space="preserve">Geçici vergi beyannameleri ve tahakkukları</t>
  </si>
  <si>
    <t xml:space="preserve">Usul İncelemesi</t>
  </si>
  <si>
    <t xml:space="preserve">KDV, muhtasar ve prim hizmet beyannameleri</t>
  </si>
  <si>
    <t xml:space="preserve">Önceki yıl beyannamesi ve varsa önceki tasdik raporları</t>
  </si>
  <si>
    <t xml:space="preserve">Yıl sonu mizan, bilanço ve gelir tablosu</t>
  </si>
  <si>
    <t xml:space="preserve">e-Defter berat listesi veya defter tasdik bilgileri (envanter defteri dahil)</t>
  </si>
  <si>
    <t xml:space="preserve">İlgili hesapların muavin dökümleri</t>
  </si>
  <si>
    <t xml:space="preserve">Hesap İncelemesi / Ek</t>
  </si>
  <si>
    <t xml:space="preserve">Aylık personel sayıları (SGK hizmet listeleri)</t>
  </si>
  <si>
    <t xml:space="preserve">Yatırım teşvik / sanayi sicil / kapasite raporu (varsa)</t>
  </si>
  <si>
    <t xml:space="preserve">Kira sözleşmeleri ve işyeri belgeleri</t>
  </si>
  <si>
    <t xml:space="preserve">Kullanılan krediler ve ilişkili kişi işlemleri bilgisi</t>
  </si>
  <si>
    <t xml:space="preserve">Önceki inceleme raporu, özelge, uzlaşma veya ihtirazi kayıt bilgileri</t>
  </si>
  <si>
    <t xml:space="preserve">Diğer Hususlar</t>
  </si>
  <si>
    <t xml:space="preserve">Mükellef / mali müşavir</t>
  </si>
  <si>
    <t xml:space="preserve">SMMM sözleşmesi ve ruhsat / oda bilgileri</t>
  </si>
  <si>
    <t xml:space="preserve">YMM tasdik sözleşmesi</t>
  </si>
  <si>
    <t xml:space="preserve">Kapak / Ek</t>
  </si>
  <si>
    <t xml:space="preserve">YMM</t>
  </si>
  <si>
    <t xml:space="preserve">Tamamlanan / toplam</t>
  </si>
  <si>
    <t xml:space="preserve">A–H bölümleri tasdik raporunun "I. Genel Bilgi" ve "II. Usul İncelemeleri" bölümlerinin, I bölümü rapor eklerinin hazırlanmasında kullanılır. İşe başlama tarihi ve mükellefiyet türü Parametreler sayfasına otomatik aktarılır (asgari KV ilk üç dönem kontrolü ve son günler).</t>
  </si>
  <si>
    <t xml:space="preserve">Ek-2 · Beyanname Satırı – Kanun Maddesi Eşleştirme, Tasdik Eşiği Kontrolü ve KKEG Listesi</t>
  </si>
  <si>
    <t xml:space="preserve">Rehber Bölüm 1.3. ve 4.1. · 49 Sıra No.lu SMMM ve YMM Kanunu Genel Tebliği</t>
  </si>
  <si>
    <t xml:space="preserve">A. İndirim ve istisnaların beyanname satırlarıyla eşleştirilmesi ve tasdik eşiği (tutarlar Ek-14’ten gelir)</t>
  </si>
  <si>
    <t xml:space="preserve">No</t>
  </si>
  <si>
    <t xml:space="preserve">İndirim / istisna</t>
  </si>
  <si>
    <t xml:space="preserve">Kanun maddesi</t>
  </si>
  <si>
    <t xml:space="preserve">Beyanname bölümü</t>
  </si>
  <si>
    <t xml:space="preserve">Beyanda indirilen (TL)</t>
  </si>
  <si>
    <t xml:space="preserve">Tebliğ tablosunda mı? (E/H)</t>
  </si>
  <si>
    <t xml:space="preserve">Eşik kontrolü</t>
  </si>
  <si>
    <t xml:space="preserve">İştirak kazançları istisnası</t>
  </si>
  <si>
    <t xml:space="preserve">KVK md. 5/1-a</t>
  </si>
  <si>
    <t xml:space="preserve">Zarar olsa dahi indirilecek</t>
  </si>
  <si>
    <t xml:space="preserve">H</t>
  </si>
  <si>
    <t xml:space="preserve">Yurt dışı iştirak kazançları istisnası</t>
  </si>
  <si>
    <t xml:space="preserve">Taşınmaz ve iştirak hissesi satış kazancı istisnası</t>
  </si>
  <si>
    <t xml:space="preserve">Teknoloji geliştirme bölgesi kazanç istisnası</t>
  </si>
  <si>
    <t xml:space="preserve">4691 s. K. geçici md. 2</t>
  </si>
  <si>
    <t xml:space="preserve">Ar-Ge ve tasarım indirimi</t>
  </si>
  <si>
    <t xml:space="preserve">5746 s. K. md. 3 · KVK md. 10/1-a</t>
  </si>
  <si>
    <t xml:space="preserve">Kazancın bulunması halinde</t>
  </si>
  <si>
    <t xml:space="preserve">Sponsorluk harcamaları</t>
  </si>
  <si>
    <t xml:space="preserve">Bağış ve yardımlar</t>
  </si>
  <si>
    <t xml:space="preserve">KVK md. 10/1-c vd.</t>
  </si>
  <si>
    <t xml:space="preserve">Hizmet ihracı kazanç indirimi</t>
  </si>
  <si>
    <t xml:space="preserve">KVK md. 10/1-ğ</t>
  </si>
  <si>
    <t xml:space="preserve">Nakdi sermaye artışı faiz indirimi</t>
  </si>
  <si>
    <t xml:space="preserve">KVK md. 10/1-ı</t>
  </si>
  <si>
    <t xml:space="preserve">Diğer istisnalar</t>
  </si>
  <si>
    <t xml:space="preserve">—</t>
  </si>
  <si>
    <t xml:space="preserve">“Diğer” satırı</t>
  </si>
  <si>
    <t xml:space="preserve">Diğer indirimler</t>
  </si>
  <si>
    <t xml:space="preserve">Tebliğ tablosundaki kalemlerin toplamı</t>
  </si>
  <si>
    <t xml:space="preserve">Toplam eşiği aşıldı mı? (Parametreler – toplam had)</t>
  </si>
  <si>
    <t xml:space="preserve">“Diğer istisnalar” ve “Diğer indirimler” satırlarının toplamı</t>
  </si>
  <si>
    <t xml:space="preserve">“Diğer” satırları eşiği aşıldı mı? (aşılırsa tümü tasdike tabi)</t>
  </si>
  <si>
    <t xml:space="preserve">İhracat / üretim indirimli oran nedeniyle yararlanılan indirim (Ek-5)</t>
  </si>
  <si>
    <t xml:space="preserve">İndirimli oran eşiği kontrolü</t>
  </si>
  <si>
    <t xml:space="preserve">KVK md. 32/A kapsamında yararlanılan yatırıma katkı (Ek-8)</t>
  </si>
  <si>
    <t xml:space="preserve">KVK md. 32/A kontrolü (tutar sınırı yok)</t>
  </si>
  <si>
    <t xml:space="preserve">Genel sonuç</t>
  </si>
  <si>
    <t xml:space="preserve">Eşikler Parametreler sayfasından gelir. Tabloda yer verilen tutarlar 2025 yılı gelir ve kurumlar vergisi beyannameleri bakımından geçerli hadlerdir. 2026 hesap dönemi kazançlarına ilişkin beyannamelerde uygulanacak hadler, ilgili yıl için ilan edilecek güncel tutarlar esas alınarak kontrol edilmelidir. “Tebliğ tablosunda mı?” sütunu örnek işaretlemedir; Tebliğ ekindeki listeye göre teyit edin.</t>
  </si>
  <si>
    <t xml:space="preserve">B. Kanunen kabul edilmeyen giderler (KKEG) listesi</t>
  </si>
  <si>
    <t xml:space="preserve">Hesap kodu</t>
  </si>
  <si>
    <t xml:space="preserve">Dayanak (kanun maddesi)</t>
  </si>
  <si>
    <t xml:space="preserve">Tutar (TL)</t>
  </si>
  <si>
    <t xml:space="preserve">Belge / not</t>
  </si>
  <si>
    <t xml:space="preserve">Kıdem tazminatı karşılığı</t>
  </si>
  <si>
    <t xml:space="preserve">372</t>
  </si>
  <si>
    <t xml:space="preserve">KVK md. 11 · GVK md. 40</t>
  </si>
  <si>
    <t xml:space="preserve">Binek otomobil gider ve amortisman kısıtlaması</t>
  </si>
  <si>
    <t xml:space="preserve">770</t>
  </si>
  <si>
    <t xml:space="preserve">GVK md. 40/5, 68/5</t>
  </si>
  <si>
    <t xml:space="preserve">Vergi cezaları ve gecikme zamları</t>
  </si>
  <si>
    <t xml:space="preserve">689</t>
  </si>
  <si>
    <t xml:space="preserve">KVK md. 11/1-d</t>
  </si>
  <si>
    <t xml:space="preserve">Bağış ve yardımlar (beyannamede ayrıca indirilir – Ek-12)</t>
  </si>
  <si>
    <t xml:space="preserve">Sponsorluk harcamaları (beyannamede ayrıca indirilir – Ek-12)</t>
  </si>
  <si>
    <t xml:space="preserve">760</t>
  </si>
  <si>
    <t xml:space="preserve">Toplam KKEG</t>
  </si>
  <si>
    <t xml:space="preserve">KKEG toplamı Ek-13 (asgari kurumlar vergisi matrahı) ve Ek-14’e (matrah hesabı) otomatik aktarılır. Bağış ve sponsorluk satırları Ek-12’den gelir; ticari kârdan düşülen bu harcamalar önce KKEG olarak eklenir, ardından beyanname üzerinde sınırları dahilinde indirilir.</t>
  </si>
  <si>
    <t xml:space="preserve">Ek-3 · Faaliyet Bazlı Gelir-Gider, Ortak Gider Dağıtımı ve Ticari Bilanço Kârı Mutabakatı</t>
  </si>
  <si>
    <t xml:space="preserve">Rehber Bölüm 4.2., 4.3., 4.5. · KVK md. 5/3, 10/1-ğ, 32/7-8; 4691 s. K. geçici md. 2 · 1 Seri No.lu KVGT 10.5.3.2</t>
  </si>
  <si>
    <t xml:space="preserve">A. Faaliyet bazlı kârlılık (TL)</t>
  </si>
  <si>
    <t xml:space="preserve">Kalem (TL)</t>
  </si>
  <si>
    <t xml:space="preserve">Hizmet ihracı</t>
  </si>
  <si>
    <t xml:space="preserve">İhracat</t>
  </si>
  <si>
    <t xml:space="preserve">Üretim (yurt içi satış)</t>
  </si>
  <si>
    <t xml:space="preserve">Teknokent</t>
  </si>
  <si>
    <t xml:space="preserve">Diğer faaliyetler</t>
  </si>
  <si>
    <t xml:space="preserve">Dağıtım anahtarı</t>
  </si>
  <si>
    <t xml:space="preserve">Hasılat oranı</t>
  </si>
  <si>
    <t xml:space="preserve">Net satışlar</t>
  </si>
  <si>
    <t xml:space="preserve">Özel oranlar (adam/saat, m², doğrudan maliyet vb.)</t>
  </si>
  <si>
    <t xml:space="preserve">Satışların maliyeti (doğrudan)</t>
  </si>
  <si>
    <t xml:space="preserve">Brüt kâr</t>
  </si>
  <si>
    <t xml:space="preserve">Doğrudan faaliyet giderleri</t>
  </si>
  <si>
    <t xml:space="preserve">Dağıtım anahtarı (%)</t>
  </si>
  <si>
    <t xml:space="preserve">Dağıtılan ortak giderler</t>
  </si>
  <si>
    <t xml:space="preserve">Doğrudan diğer gelir (+) / gider (−) (kur farkı vb.)</t>
  </si>
  <si>
    <t xml:space="preserve">Özel oranlar toplamı</t>
  </si>
  <si>
    <t xml:space="preserve">Faaliyet kazancı / zararı</t>
  </si>
  <si>
    <t xml:space="preserve">Kontrol</t>
  </si>
  <si>
    <t xml:space="preserve">Dağıtılacak ortak genel giderler havuzu (TL)</t>
  </si>
  <si>
    <t xml:space="preserve">Kontrol: dağıtılan ortak giderler = havuz</t>
  </si>
  <si>
    <t xml:space="preserve">Dağıtım anahtarı J5 hücresinden seçilir. Hizmet ihracı indiriminde Tebliğ ortak giderlerin hasılat oranında dağıtılmasını esas alır (1 Seri No.lu KVGT 10.5.3.2); diğer faaliyetlerde niteliğe uygun ve belgelenmiş bir anahtar (adam/saat, m², doğrudan maliyet) seçilebilir. “Özel oran” seçilirse J7–J11’e oranları girin ve dayanağını dosyaya ekleyin. İstisna kazanca ait giderler istisna dışı kazançtan indirilemez (KVK md. 5/3). Hizmet ihracı sütunu Ek-4’ü, ihracat ve üretim sütunları Ek-5’i, teknokent sütunu Ek-7’yi besler.</t>
  </si>
  <si>
    <t xml:space="preserve">B. Faaliyet dışı kalemler ve ticari bilanço kârı (TL)</t>
  </si>
  <si>
    <t xml:space="preserve">Kalem</t>
  </si>
  <si>
    <t xml:space="preserve">Kaynak</t>
  </si>
  <si>
    <t xml:space="preserve">Faaliyet kazançları toplamı</t>
  </si>
  <si>
    <t xml:space="preserve">Bu sayfa, A bölümü</t>
  </si>
  <si>
    <t xml:space="preserve">Yurt içi iştirak kazançları (kâr payları)</t>
  </si>
  <si>
    <t xml:space="preserve">Ek-11 A</t>
  </si>
  <si>
    <t xml:space="preserve">Yurt dışı iştirak kazançları (kâr payları)</t>
  </si>
  <si>
    <t xml:space="preserve">Ek-11 B</t>
  </si>
  <si>
    <t xml:space="preserve">Taşınmaz ve iştirak hissesi satış kazançları</t>
  </si>
  <si>
    <t xml:space="preserve">Bağış ve sponsorluk giderleri (KKEG olarak eklenir)</t>
  </si>
  <si>
    <t xml:space="preserve">Diğer faaliyet dışı gelir (+) / gider (−), net</t>
  </si>
  <si>
    <t xml:space="preserve">Finansman giderleri vb.</t>
  </si>
  <si>
    <t xml:space="preserve">Ticari bilanço kârı</t>
  </si>
  <si>
    <t xml:space="preserve">Gelir tablosundaki dönem kârı (mizan / bilanço)</t>
  </si>
  <si>
    <t xml:space="preserve">Kontrol: Ek-3 ticari bilanço kârı = gelir tablosu</t>
  </si>
  <si>
    <t xml:space="preserve">Ticari bilanço kârı Ek-5, Ek-13 ve Ek-14’e otomatik aktarılır. Gelir tablosu kârı ile fark varsa, faaliyet dışı kalemleri tamamlayın; fark kapanmadan istisna ve indirim hesaplarına geçmeyin.</t>
  </si>
  <si>
    <t xml:space="preserve">Ek-4 · Hizmet İhracı İndirim Hesabı ve Fatura–Tahsilat–Transfer Takibi</t>
  </si>
  <si>
    <t xml:space="preserve">Rehber Bölüm 2.1. ve 4.2. · GVK md. 89/1-13 · KVK md. 10/1-ğ · 11257 sayılı CBK · 1 Seri No.lu KVGT 10.5</t>
  </si>
  <si>
    <t xml:space="preserve">A. Fatura – tahsilat – transfer takibi</t>
  </si>
  <si>
    <t xml:space="preserve">Fatura no</t>
  </si>
  <si>
    <t xml:space="preserve">Fatura tarihi</t>
  </si>
  <si>
    <t xml:space="preserve">Müşteri (yurt dışı)</t>
  </si>
  <si>
    <t xml:space="preserve">Ülke</t>
  </si>
  <si>
    <t xml:space="preserve">Hizmet türü</t>
  </si>
  <si>
    <t xml:space="preserve">Kapsamdaki hizmet mi? (E/H)</t>
  </si>
  <si>
    <t xml:space="preserve">Döviz</t>
  </si>
  <si>
    <t xml:space="preserve">Fatura tutarı (döviz)</t>
  </si>
  <si>
    <t xml:space="preserve">Fatura kuru</t>
  </si>
  <si>
    <t xml:space="preserve">TL tutarı</t>
  </si>
  <si>
    <t xml:space="preserve">Tahsilat tarihi</t>
  </si>
  <si>
    <t xml:space="preserve">Tahsil edilen (döviz)</t>
  </si>
  <si>
    <t xml:space="preserve">Türkiye’deki hesaba mı? (E/H)</t>
  </si>
  <si>
    <t xml:space="preserve">Kalan (döviz)</t>
  </si>
  <si>
    <t xml:space="preserve">H2026-014</t>
  </si>
  <si>
    <t xml:space="preserve">Örnek Engineering GmbH</t>
  </si>
  <si>
    <t xml:space="preserve">Almanya</t>
  </si>
  <si>
    <t xml:space="preserve">Mühendislik</t>
  </si>
  <si>
    <t xml:space="preserve">EUR</t>
  </si>
  <si>
    <t xml:space="preserve">H2026-031</t>
  </si>
  <si>
    <t xml:space="preserve">Örnek Design Ltd.</t>
  </si>
  <si>
    <t xml:space="preserve">Hollanda</t>
  </si>
  <si>
    <t xml:space="preserve">Tasarım</t>
  </si>
  <si>
    <t xml:space="preserve">Eksik</t>
  </si>
  <si>
    <t xml:space="preserve">B. İndirim hesabı</t>
  </si>
  <si>
    <t xml:space="preserve">Hizmet ihracı faaliyet kazancı (Ek-3, hizmet ihracı sütunu)</t>
  </si>
  <si>
    <t xml:space="preserve">Fatura toplamı (TL) – bu sayfa</t>
  </si>
  <si>
    <t xml:space="preserve">Ek-3’teki hizmet ihracı hasılatı</t>
  </si>
  <si>
    <t xml:space="preserve">Mutabakat: fatura listesi = Ek-3 hasılatı</t>
  </si>
  <si>
    <t xml:space="preserve">Şartı eksik fatura sayısı (kapsam, tahsilat, Türkiye’deki hesap, süre)</t>
  </si>
  <si>
    <t xml:space="preserve">Transfer ve diğer şartlar</t>
  </si>
  <si>
    <t xml:space="preserve">İndirim oranı (Parametreler – 11257 sayılı CBK)</t>
  </si>
  <si>
    <t xml:space="preserve">Hizmet ihracı kazanç indirimi (TL)</t>
  </si>
  <si>
    <t xml:space="preserve">Mükellef türü</t>
  </si>
  <si>
    <t xml:space="preserve">Transfer için son gün (beyanname verme süresi sonu)</t>
  </si>
  <si>
    <t xml:space="preserve">Asgari vergi notu</t>
  </si>
  <si>
    <t xml:space="preserve">Kazancın tamamının beyanname verme süresine kadar Türkiye’ye transferi şarttır; kazancın bir kısmı transfer edilmezse transfer edilen kısım dahil indirimden yararlanılamaz (1 Seri No.lu KVGT 10.5.2.6). Ödemenin Türkiye’de yapılması halinde ayrıca transfer şartı aranmaz. Fatura yurt dışındaki müşteri adına düzenlenmeli, hizmetten münhasıran yurt dışında yararlanılmalıdır. İndirim, hasılata değil Ek-3’te ortak giderler dağıtıldıktan sonra bulunan kazanca uygulanır.</t>
  </si>
  <si>
    <t xml:space="preserve">C. Türkiye’ye transfer kayıtları (banka dekontları ile)</t>
  </si>
  <si>
    <t xml:space="preserve">Banka / şube</t>
  </si>
  <si>
    <t xml:space="preserve">Gönderen</t>
  </si>
  <si>
    <t xml:space="preserve">Hesap / IBAN (son 4 hane)</t>
  </si>
  <si>
    <t xml:space="preserve">Döviz tutarı</t>
  </si>
  <si>
    <t xml:space="preserve">İlgili fatura no</t>
  </si>
  <si>
    <t xml:space="preserve">Örnek Banka</t>
  </si>
  <si>
    <t xml:space="preserve">1234</t>
  </si>
  <si>
    <t xml:space="preserve">Transfer toplamı</t>
  </si>
  <si>
    <t xml:space="preserve">Fatura toplamı</t>
  </si>
  <si>
    <t xml:space="preserve">Farklı döviz cinslerinde fatura varsa toplamlar döviz cinsi bazında ayrıca karşılaştırılmalıdır. Kur farkı ve vade farkları indirime esas kazancın tespitinde dikkate alınır; nakitlerin değerlendirilmesinden doğan faiz ve kasa dövizlerinin kur farkları kapsam dışıdır.</t>
  </si>
  <si>
    <t xml:space="preserve">Ek-5 · İhracat ve Üretim Kazançlarında İndirimli Kurumlar Vergisi Hesabı</t>
  </si>
  <si>
    <t xml:space="preserve">Rehber Bölüm 2.2. ve 4.3. · KVK md. 32/1, 32/7, 32/8 (2026 hesap dönemi)</t>
  </si>
  <si>
    <t xml:space="preserve">A. Girdiler (Ek-3 ve Ek-14’ten otomatik)</t>
  </si>
  <si>
    <t xml:space="preserve">Ek-3 B</t>
  </si>
  <si>
    <t xml:space="preserve">Kurumlar vergisi matrahı</t>
  </si>
  <si>
    <t xml:space="preserve">İhracat faaliyetinden elde edilen kazanç</t>
  </si>
  <si>
    <t xml:space="preserve">Ek-3 ihracat sütunu</t>
  </si>
  <si>
    <t xml:space="preserve">İhracat kazancından ayrıca indirim / istisna konusu yapılan tutar</t>
  </si>
  <si>
    <t xml:space="preserve">Varsa elle girin</t>
  </si>
  <si>
    <t xml:space="preserve">Üretilen ürünlerin yurt içi satışından elde edilen kazanç</t>
  </si>
  <si>
    <t xml:space="preserve">Ek-3 üretim sütunu</t>
  </si>
  <si>
    <t xml:space="preserve">Genel kurumlar vergisi oranı</t>
  </si>
  <si>
    <t xml:space="preserve">İhracat oran indirimi (puan)</t>
  </si>
  <si>
    <t xml:space="preserve">Üretim oran indirimi (puan) – 2026</t>
  </si>
  <si>
    <t xml:space="preserve">B. Hesaplama</t>
  </si>
  <si>
    <t xml:space="preserve">İhracat indirimli oran matrahı</t>
  </si>
  <si>
    <t xml:space="preserve">Üretim indirimli oran matrahı</t>
  </si>
  <si>
    <t xml:space="preserve">Genel orana tabi matrah</t>
  </si>
  <si>
    <t xml:space="preserve">İhracat kazancına uygulanacak oran</t>
  </si>
  <si>
    <t xml:space="preserve">Üretim kazancına uygulanacak oran</t>
  </si>
  <si>
    <t xml:space="preserve">Hesaplanan kurumlar vergisi (32/A öncesi)</t>
  </si>
  <si>
    <t xml:space="preserve">İndirimli oran nedeniyle yararlanılan indirim (alınmayan vergi)</t>
  </si>
  <si>
    <t xml:space="preserve">Tasdik eşiği (Parametreler – indirimli oran haddi)</t>
  </si>
  <si>
    <t xml:space="preserve">Tasdik gerekli mi?</t>
  </si>
  <si>
    <t xml:space="preserve">Matrah dağılımı, indirimli orana tabi kazancın ticari bilanço kârına oranlanması yöntemiyle yapılır. Hizmet ihracı indirimine konu kısım 5 puan indirime konu edilmez. Genel orana tabi matrah (D18) Ek-8’de yatırıma katkı kullanımına esas alınır; aynı kazanca iki indirimli oran uygulanmaz. 2027’den itibaren üretim kazançlarına kurumlar vergisi oranı 12,5 puan indirimli uygulanacaktır (7582 s. K.). Tasdik haddi için Parametreler B bölümündeki açıklamaya bakın.</t>
  </si>
  <si>
    <t xml:space="preserve">Ek-6 · Ar-Ge ve Tasarım İndirimi Hesabı ve %3 Girişim Sermayesi Yükümlülüğü</t>
  </si>
  <si>
    <t xml:space="preserve">Rehber Bölüm 2.3. ve 4.4. · 5746 sayılı Kanun md. 3 · 10803 sayılı CBK</t>
  </si>
  <si>
    <t xml:space="preserve">A. Proje bazlı harcamalar (TL)</t>
  </si>
  <si>
    <t xml:space="preserve">Proje kodu</t>
  </si>
  <si>
    <t xml:space="preserve">Proje adı</t>
  </si>
  <si>
    <t xml:space="preserve">Personel</t>
  </si>
  <si>
    <t xml:space="preserve">Malzeme</t>
  </si>
  <si>
    <t xml:space="preserve">Amortisman</t>
  </si>
  <si>
    <t xml:space="preserve">Hizmet alımı</t>
  </si>
  <si>
    <t xml:space="preserve">Diğer doğrudan</t>
  </si>
  <si>
    <t xml:space="preserve">Hibe / destek</t>
  </si>
  <si>
    <t xml:space="preserve">Net harcama</t>
  </si>
  <si>
    <t xml:space="preserve">P-01</t>
  </si>
  <si>
    <t xml:space="preserve">Akıllı ölçüm sistemi</t>
  </si>
  <si>
    <t xml:space="preserve">P-02</t>
  </si>
  <si>
    <t xml:space="preserve">Hafif kompozit gövde tasarımı</t>
  </si>
  <si>
    <t xml:space="preserve">B. İndirim hesabı (beyanname sırasına göre kullanım Ek-14’ten gelir)</t>
  </si>
  <si>
    <t xml:space="preserve">Cari yıl net Ar-Ge / tasarım harcaması</t>
  </si>
  <si>
    <t xml:space="preserve">Önceki yıl net harcama</t>
  </si>
  <si>
    <t xml:space="preserve">Artış indirimi şartları sağlanıyor mu? (E/H)</t>
  </si>
  <si>
    <t xml:space="preserve">Artış tutarı</t>
  </si>
  <si>
    <t xml:space="preserve">Artış indirimi (%50)</t>
  </si>
  <si>
    <t xml:space="preserve">Cari yıl indirimi</t>
  </si>
  <si>
    <t xml:space="preserve">Önceki yıldan devreden indirim (nominal)</t>
  </si>
  <si>
    <t xml:space="preserve">Endeksleme oranı (YDO – Parametreler)</t>
  </si>
  <si>
    <t xml:space="preserve">Endekslenmiş devreden indirim</t>
  </si>
  <si>
    <t xml:space="preserve">Kullanılabilir toplam indirim</t>
  </si>
  <si>
    <t xml:space="preserve">İndirim öncesi kalan kazanç (Ek-14, zarar mahsubu sonrası)</t>
  </si>
  <si>
    <t xml:space="preserve">Bu yıl kullanılan indirim (Ek-14)</t>
  </si>
  <si>
    <t xml:space="preserve">Sonraki yıla devreden indirim</t>
  </si>
  <si>
    <t xml:space="preserve">C. Girişim sermayesi yatırım yükümlülüğü – Ar-Ge ve teknokent için AYRI AYRI</t>
  </si>
  <si>
    <t xml:space="preserve">Ar-Ge / tasarım indirimi (5746 s. K.)</t>
  </si>
  <si>
    <t xml:space="preserve">Teknokent kazanç istisnası (4691 s. K.)</t>
  </si>
  <si>
    <t xml:space="preserve">Beyannamede yararlanılan tutar</t>
  </si>
  <si>
    <t xml:space="preserve">Alt sınır (Parametreler – 10803 s. CBK)</t>
  </si>
  <si>
    <t xml:space="preserve">Yükümlülük doğuyor mu?</t>
  </si>
  <si>
    <t xml:space="preserve">Pasifte geçici hesaba alınacak tutar (%3, üst sınır)</t>
  </si>
  <si>
    <t xml:space="preserve">Girişim sermayesi yatırımı için son gün</t>
  </si>
  <si>
    <t xml:space="preserve">Yatırım süresinde yapıldı / planlandı mı? (E/H)</t>
  </si>
  <si>
    <t xml:space="preserve">Yapılmazsa yararlanılamayacak tutar (%20)</t>
  </si>
  <si>
    <t xml:space="preserve">Bunun vergi etkisi (yaklaşık)</t>
  </si>
  <si>
    <t xml:space="preserve">Bilgi: iki tutar toplanarak eşik kontrolü YAPILMAZ</t>
  </si>
  <si>
    <t xml:space="preserve">← yalnızca bilgi amaçlı toplam</t>
  </si>
  <si>
    <t xml:space="preserve">10803 sayılı CBK, 5746 sayılı Kanun ve 4691 sayılı Kanun kapsamındaki eşikleri ayrı ayrı belirler: Ar-Ge/tasarım indirimi ile teknokent istisnası ayrı ayrı 5.000.000 TL ile karşılaştırılır. Yükümlülük doğan tutarın %3’ü pasifte geçici bir hesaba alınır ve geçici hesabın oluştuğu yılın (beyanname yılı) sonuna kadar girişim sermayesi yatırım fonu payı, girişim sermayesi yatırım ortaklığı payı veya kuluçka merkezlerindeki girişimcilere yatırım olarak değerlendirilir; yapılmazsa ilgili indirim / istisnanın %20’sinden yararlanılamaz.</t>
  </si>
  <si>
    <t xml:space="preserve">D. Ar-Ge / tasarım personeli</t>
  </si>
  <si>
    <t xml:space="preserve">Ad Soyad</t>
  </si>
  <si>
    <t xml:space="preserve">TC kimlik no</t>
  </si>
  <si>
    <t xml:space="preserve">Görev / unvan</t>
  </si>
  <si>
    <t xml:space="preserve">Eğitim düzeyi</t>
  </si>
  <si>
    <t xml:space="preserve">Projedeki süre (ay)</t>
  </si>
  <si>
    <t xml:space="preserve">Brüt ücret (TL)</t>
  </si>
  <si>
    <t xml:space="preserve">Stopaj teşvikine konu vergi (TL)</t>
  </si>
  <si>
    <t xml:space="preserve">Program mezunu mu? (E/H)</t>
  </si>
  <si>
    <t xml:space="preserve">Örnek Kişi</t>
  </si>
  <si>
    <t xml:space="preserve">Ar-Ge mühendisi</t>
  </si>
  <si>
    <t xml:space="preserve">Yüksek lisans</t>
  </si>
  <si>
    <t xml:space="preserve">E. Dışarıdan alınan test, analiz, danışmanlık vb. hizmetler</t>
  </si>
  <si>
    <t xml:space="preserve">Hizmet sağlayan</t>
  </si>
  <si>
    <t xml:space="preserve">Hizmetin mahiyeti</t>
  </si>
  <si>
    <t xml:space="preserve">Stopaj (TL)</t>
  </si>
  <si>
    <t xml:space="preserve">KDV (TL)</t>
  </si>
  <si>
    <t xml:space="preserve">Örnek Laboratuvar A.Ş.</t>
  </si>
  <si>
    <t xml:space="preserve">Malzeme test analizi</t>
  </si>
  <si>
    <t xml:space="preserve">LAB2026-15</t>
  </si>
  <si>
    <t xml:space="preserve">D ve E tabloları 49 Sıra No.lu Tebliğ ekindeki rapor dispozisyonunda Ar-Ge ve tasarım indirimi için istenen listelerdir. Ortak genel giderlerden pay ayrılarak harcamaya eklenmez; kamu hibeleri harcamadan düşülür. Devreden indirim, yeniden değerleme oranında artırılarak sonraki dönemlerde kullanılır.</t>
  </si>
  <si>
    <t xml:space="preserve">Ek-7 · Teknoloji Geliştirme Bölgesi Proje Bazlı Kazanç ve İstisna Hesabı</t>
  </si>
  <si>
    <t xml:space="preserve">Rehber Bölüm 2.4. ve 4.5. · 4691 sayılı Kanun geçici md. 2</t>
  </si>
  <si>
    <t xml:space="preserve">A. Proje bazlı kazanç (TL)</t>
  </si>
  <si>
    <t xml:space="preserve">Hasılat</t>
  </si>
  <si>
    <t xml:space="preserve">Doğrudan maliyet ve giderler</t>
  </si>
  <si>
    <t xml:space="preserve">Dağıtılan genel gider (Ek-3’ten)</t>
  </si>
  <si>
    <t xml:space="preserve">Kazanç / zarar</t>
  </si>
  <si>
    <t xml:space="preserve">İstisna kapsamında mı? (E/H)</t>
  </si>
  <si>
    <t xml:space="preserve">T-01</t>
  </si>
  <si>
    <t xml:space="preserve">Saha veri platformu (yazılım)</t>
  </si>
  <si>
    <t xml:space="preserve">T-02</t>
  </si>
  <si>
    <t xml:space="preserve">Görüntü işleme modülü (pilot – zararlı)</t>
  </si>
  <si>
    <t xml:space="preserve">TÜBİTAK vb. hibe ve destekler (istisnadan düşülür)</t>
  </si>
  <si>
    <t xml:space="preserve">İstisna edilecek kazanç (kapsamdaki projelerin net sonucu, zararlar mahsup edilmiş)</t>
  </si>
  <si>
    <t xml:space="preserve">İstisna dışı (bölge dışı, seri üretim vb.) sonuç</t>
  </si>
  <si>
    <t xml:space="preserve">B. Ek-3 ile mutabakat</t>
  </si>
  <si>
    <t xml:space="preserve">Hasılat: Ek-7 = Ek-3 teknokent sütunu</t>
  </si>
  <si>
    <t xml:space="preserve">Doğrudan maliyet: Ek-7 = Ek-3 (maliyet + doğrudan gider)</t>
  </si>
  <si>
    <t xml:space="preserve">Kazanç: Ek-7 = Ek-3 teknokent faaliyet kazancı</t>
  </si>
  <si>
    <t xml:space="preserve">Bölge faaliyetleri hesap döneminde bir bütün olarak değerlendirilir; istisna kapsamındaki projelerin zararları önce bu kapsamdaki kazançlardan mahsup edilir. İstisna 31.12.2028’e kadar geçerlidir ve asgari kurumlar vergisi matrahından düşülebilir. %3 girişim sermayesi yükümlülüğü teknokent istisnası için AYRICA (Ar-Ge indirimiyle toplanmadan) kontrol edilir: Ek-6 C bölümü, sağ sütun.</t>
  </si>
  <si>
    <t xml:space="preserve">C. Aylık personel dağılımı</t>
  </si>
  <si>
    <t xml:space="preserve">Teknokent çalışanı</t>
  </si>
  <si>
    <t xml:space="preserve">Bölge dışı çalışan (izinli)</t>
  </si>
  <si>
    <t xml:space="preserve">Ek-8 · Yatırım Teşvik Belgesi – Yatırıma Katkı Kullanımı, Yanan ve Devreden Tutar Takibi</t>
  </si>
  <si>
    <t xml:space="preserve">Rehber Bölüm 2.5. ve 4.6. · KVK md. 32/A (7555 sayılı Kanunla değişik) · 1 Seri No.lu KVGT 32/A</t>
  </si>
  <si>
    <t xml:space="preserve">A. Belge bilgileri ve uygulanacak rejim</t>
  </si>
  <si>
    <t xml:space="preserve">Belge no</t>
  </si>
  <si>
    <t xml:space="preserve">000000</t>
  </si>
  <si>
    <t xml:space="preserve">Teşvik başvuru tarihi</t>
  </si>
  <si>
    <t xml:space="preserve">Belge tarihi</t>
  </si>
  <si>
    <t xml:space="preserve">Uygulanacak hükümler</t>
  </si>
  <si>
    <t xml:space="preserve">Asgari KV’den “alınmayan vergi” indirilebilir mi? (belge 2.8.2024 öncesi mi?)</t>
  </si>
  <si>
    <t xml:space="preserve">Yatırıma katkı oranı (belgedeki)</t>
  </si>
  <si>
    <t xml:space="preserve">Vergi indirim oranı (belgedeki; 7555 sonrası belgelerde %60)</t>
  </si>
  <si>
    <t xml:space="preserve">İndirimli kurumlar vergisi oranı</t>
  </si>
  <si>
    <t xml:space="preserve">Belgedeki toplam yatırım tutarı (arsa, royalti, yedek parça vb. hariç)</t>
  </si>
  <si>
    <t xml:space="preserve">Toplam yatırıma katkı tutarı</t>
  </si>
  <si>
    <t xml:space="preserve">Diğer faaliyet kazançlarında kullanılabilecek oran (CBK ile belirlenen)</t>
  </si>
  <si>
    <t xml:space="preserve">Diğer faaliyet kazançlarında kullanılabilecek azami katkı</t>
  </si>
  <si>
    <t xml:space="preserve">İndirimden yararlanılan ilk hesap dönemi</t>
  </si>
  <si>
    <t xml:space="preserve">Süre sınırı</t>
  </si>
  <si>
    <t xml:space="preserve">B. Dönemsel kullanım (TL) – 2026 satırı Ek-5 ve Ek-14 ile bağlantılıdır</t>
  </si>
  <si>
    <t xml:space="preserve">Sıra</t>
  </si>
  <si>
    <t xml:space="preserve">Kümülatif yatırım harcaması</t>
  </si>
  <si>
    <t xml:space="preserve">Hak edilen katkı</t>
  </si>
  <si>
    <t xml:space="preserve">Yatırımdan elde edilen kazanç</t>
  </si>
  <si>
    <t xml:space="preserve">Diğer faaliyet kazancı (genel orana tabi matrah)</t>
  </si>
  <si>
    <t xml:space="preserve">Kullanılabilir – yatırım kazancı</t>
  </si>
  <si>
    <t xml:space="preserve">Kullanılabilir – diğer faaliyet</t>
  </si>
  <si>
    <t xml:space="preserve">Kullanılabilir toplam</t>
  </si>
  <si>
    <t xml:space="preserve">Fiilen kullanılan</t>
  </si>
  <si>
    <t xml:space="preserve">Kazanç varken kullanılmayan (YANAN)</t>
  </si>
  <si>
    <t xml:space="preserve">Kalan katkı (sonraki dönemlere)</t>
  </si>
  <si>
    <t xml:space="preserve">Diğer faaliyetten kullanılan</t>
  </si>
  <si>
    <t xml:space="preserve">Asgari KV’den indirilebilecek “alınmayan vergi” (yalnızca 2.8.2024 öncesi belgeler)</t>
  </si>
  <si>
    <t xml:space="preserve">Bu dönem (2026) yanan katkı</t>
  </si>
  <si>
    <t xml:space="preserve">Kullanılabilir tutar, ilgili kazancın genel oran ile indirimli oran arasındaki fark kadar vergi avantajıdır. Diğer faaliyet kazancına uygulama ilk dönem dahil dördüncü hesap döneminin sonuna kadar ve toplam katkının belirlenen oranı ile hak edilen katkıyı aşmamak üzere yapılır. 7555 sonrası hükümlere tabi belgelerde kazanç bulunmasına rağmen kullanılmayan katkı (K sütunu) sonraki dönemlere DEVREDİLEMEZ; kalan katkı (L sütunu) bu tutar düşülerek izlenir. Örnekte 2027’de kullanılabilir tutarın altında kullanım yapılmış ve fark yanmıştır. Yatırımın tamamlanmasından sonraki endeksleme bu tabloda ayrıca hesaplanmaz.</t>
  </si>
  <si>
    <t xml:space="preserve">Ek-9 · Nakdi Sermaye Artışı Faiz İndirimi Hesabı</t>
  </si>
  <si>
    <t xml:space="preserve">Rehber Bölüm 2.6. ve 4.7. · KVK md. 10/1-ı · 1 Seri No.lu KVGT 10.6.</t>
  </si>
  <si>
    <t xml:space="preserve">Hesap dönemi (Parametreler)</t>
  </si>
  <si>
    <t xml:space="preserve">TCMB TL ticari kredi faiz oranı (Parametreler)</t>
  </si>
  <si>
    <t xml:space="preserve">Tescil tarihi</t>
  </si>
  <si>
    <t xml:space="preserve">Nakit ödeme tarihi</t>
  </si>
  <si>
    <t xml:space="preserve">Artış tutarı (TL)</t>
  </si>
  <si>
    <t xml:space="preserve">Kaynak (Yurt içi / Yurt dışı)</t>
  </si>
  <si>
    <t xml:space="preserve">İndirim oranı</t>
  </si>
  <si>
    <t xml:space="preserve">Esas tarih</t>
  </si>
  <si>
    <t xml:space="preserve">Ay sayısı</t>
  </si>
  <si>
    <t xml:space="preserve">İndirim tutarı (TL)</t>
  </si>
  <si>
    <t xml:space="preserve">Son yararlanma yılı</t>
  </si>
  <si>
    <t xml:space="preserve">Bu dönem uygulanır mı?</t>
  </si>
  <si>
    <t xml:space="preserve">Sermaye avansı mı? (E/H)</t>
  </si>
  <si>
    <t xml:space="preserve">Banka onaylı hesap özeti var mı? (E/H)</t>
  </si>
  <si>
    <t xml:space="preserve">Yurt içi</t>
  </si>
  <si>
    <t xml:space="preserve">Bu dönem hesaplanan indirim</t>
  </si>
  <si>
    <t xml:space="preserve">Önceki dönemlerden devreden (kazanç yetersizliği nedeniyle)</t>
  </si>
  <si>
    <t xml:space="preserve">Beyanda kullanılan (Ek-14)</t>
  </si>
  <si>
    <t xml:space="preserve">Sonraki döneme devreden</t>
  </si>
  <si>
    <t xml:space="preserve">İndirim, tescil dönemi ve izleyen dört hesap dönemi için uygulanır; ay kesri tam ay sayılır. Banka onaylı hesap özeti ile belgelenmeyen ödemeler, sermaye avansları, ortaklar cari hesabından mahsup ve iç kaynaklı artışlar indirime konu edilmez (Durum sütunu). Kazanç yetersizliği nedeniyle kullanılamayan tutar sonraki dönemlere devreder. Bu indirim asgari kurumlar vergisi matrahından düşülemez. Faiz oranı örnek olarak 2025 oranıdır; 2026 oranı TCMB tarafından açıklandığında Parametreler sayfasında güncelleyin.</t>
  </si>
  <si>
    <t xml:space="preserve">Ek-10 · Taşınmaz ve İştirak Hissesi Satış Kazancı İstisnası – Şart Kontrolü ve Hesap</t>
  </si>
  <si>
    <t xml:space="preserve">Rehber Bölüm 2.7. ve 4.8. · KVK md. 5/1-e, geçici md. 16 · 9160 sayılı CBK</t>
  </si>
  <si>
    <t xml:space="preserve">A. Şart kontrolü ve istisna hesabı (TL)</t>
  </si>
  <si>
    <t xml:space="preserve">Varlık</t>
  </si>
  <si>
    <t xml:space="preserve">Tür</t>
  </si>
  <si>
    <t xml:space="preserve">İktisap şekli</t>
  </si>
  <si>
    <t xml:space="preserve">Elde tutma süresinin başlangıcı</t>
  </si>
  <si>
    <t xml:space="preserve">Satış tarihi</t>
  </si>
  <si>
    <t xml:space="preserve">Elde tutma (gün)</t>
  </si>
  <si>
    <t xml:space="preserve">730 gün şartı</t>
  </si>
  <si>
    <t xml:space="preserve">Ticari amaçla (stok) mı? (E/H)</t>
  </si>
  <si>
    <t xml:space="preserve">İstisna fon hesabına alındı mı? (E/H)</t>
  </si>
  <si>
    <t xml:space="preserve">Satış bedeli</t>
  </si>
  <si>
    <t xml:space="preserve">Net defter değeri / maliyet</t>
  </si>
  <si>
    <t xml:space="preserve">Satış giderleri</t>
  </si>
  <si>
    <t xml:space="preserve">Satış kazancı</t>
  </si>
  <si>
    <t xml:space="preserve">İstisna oranı</t>
  </si>
  <si>
    <t xml:space="preserve">İstisna (beyan)</t>
  </si>
  <si>
    <t xml:space="preserve">Tahsil için son gün</t>
  </si>
  <si>
    <t xml:space="preserve">Tahsil edilen</t>
  </si>
  <si>
    <t xml:space="preserve">Tahsil oranı</t>
  </si>
  <si>
    <t xml:space="preserve">Tahsil edilmezse düzeltilecek istisna</t>
  </si>
  <si>
    <t xml:space="preserve">Depo binası (tapu: … ada/parsel)</t>
  </si>
  <si>
    <t xml:space="preserve">Taşınmaz</t>
  </si>
  <si>
    <t xml:space="preserve">Satın alma</t>
  </si>
  <si>
    <t xml:space="preserve">Y A.Ş. payları</t>
  </si>
  <si>
    <t xml:space="preserve">İştirak</t>
  </si>
  <si>
    <t xml:space="preserve">Bedelsiz pay (ilk edinim tarihi esas)</t>
  </si>
  <si>
    <t xml:space="preserve">İştirak hisselerinde istisna oranı 27.11.2024 ve sonrasındaki satışlarda %50’dir (9160 sayılı CBK); 15.7.2023’ten önce edinilen taşınmazlarda %25, sonra edinilenlerde istisna yoktur. İstisna tutarı satışın yapıldığı yılda pasifte özel bir fon hesabına alınmalı ve beş yıl süreyle sermaye eklemesi dışında başka bir hesaba nakledilmemeli, işletmeden çekilmemelidir. Satış bedeli satışı izleyen ikinci takvim yılı sonuna kadar tahsil edilmelidir; tahsil edilmeyen kısma isabet eden istisna nedeniyle zamanında tahakkuk ettirilmeyen vergiler ziyaa uğramış sayılır (S sütunu). Elde tutma süresi: devir ve bölünmelerde devredenin süresi dikkate alınır; bedelsiz paylarda bedelsiz payın dayandığı payın edinim tarihi esas alınır. Bu istisna asgari kurumlar vergisi matrahından düşülemez.</t>
  </si>
  <si>
    <t xml:space="preserve">B. Satılan varlığa ve fon hesabına ilişkin bilgiler</t>
  </si>
  <si>
    <t xml:space="preserve">İl / ilçe / mahalle</t>
  </si>
  <si>
    <t xml:space="preserve">Ada / parsel</t>
  </si>
  <si>
    <t xml:space="preserve">Yüzölçümü (m²)</t>
  </si>
  <si>
    <t xml:space="preserve">Alış belgesi no</t>
  </si>
  <si>
    <t xml:space="preserve">Alıcı</t>
  </si>
  <si>
    <t xml:space="preserve">Satış faturası no</t>
  </si>
  <si>
    <t xml:space="preserve">Cins tashihi tarihi</t>
  </si>
  <si>
    <t xml:space="preserve">Fon hesabına alındığı tarih</t>
  </si>
  <si>
    <t xml:space="preserve">Fon hesap kodu</t>
  </si>
  <si>
    <t xml:space="preserve">Sermayeye eklendi mi? (E/H)</t>
  </si>
  <si>
    <t xml:space="preserve">Depo binası</t>
  </si>
  <si>
    <t xml:space="preserve">İstanbul / … / …</t>
  </si>
  <si>
    <t xml:space="preserve">… / …</t>
  </si>
  <si>
    <t xml:space="preserve">Örnek Yatırım A.Ş.</t>
  </si>
  <si>
    <t xml:space="preserve">549</t>
  </si>
  <si>
    <t xml:space="preserve">Ek-11 · İştirak Kazançları İstisnası – Yurt İçi (5/1-a) ve Yurt Dışı (5/1-b)</t>
  </si>
  <si>
    <t xml:space="preserve">Rehber Bölüm 2.8. ve 4.9. · KVK md. 5/1-a, 5/1-b · 11257 sayılı CBK</t>
  </si>
  <si>
    <t xml:space="preserve">A. Yurt içi iştirak kazançları (KVK md. 5/1-a)</t>
  </si>
  <si>
    <t xml:space="preserve">Dağıtan kurum</t>
  </si>
  <si>
    <t xml:space="preserve">VKN</t>
  </si>
  <si>
    <t xml:space="preserve">Tam mükellef kurum mu? (E/H)</t>
  </si>
  <si>
    <t xml:space="preserve">Kâr payı tarihi</t>
  </si>
  <si>
    <t xml:space="preserve">Kâr payı (TL)</t>
  </si>
  <si>
    <t xml:space="preserve">Fon / ortaklık katılma payı kazancı mı? (E/H)</t>
  </si>
  <si>
    <t xml:space="preserve">İstisna (TL)</t>
  </si>
  <si>
    <t xml:space="preserve">Örnek Sanayi A.Ş.</t>
  </si>
  <si>
    <t xml:space="preserve">B. Yurt dışı iştirak kazançları (KVK md. 5/1-b) – iki ayrı yol</t>
  </si>
  <si>
    <t xml:space="preserve">Edinim tarihi</t>
  </si>
  <si>
    <t xml:space="preserve">İştirakin vergi yükü (C’den)</t>
  </si>
  <si>
    <t xml:space="preserve">Aranan asgari vergi yükü</t>
  </si>
  <si>
    <t xml:space="preserve">Transfer tarihi</t>
  </si>
  <si>
    <t xml:space="preserve">Transfer için son gün</t>
  </si>
  <si>
    <t xml:space="preserve">Genel yol (%100): %10 pay + 1 yıl + vergi yükü + transfer</t>
  </si>
  <si>
    <t xml:space="preserve">5/1-b 3. paragraf (%80): %20 pay + transfer</t>
  </si>
  <si>
    <t xml:space="preserve">Uygulanan oran</t>
  </si>
  <si>
    <t xml:space="preserve">Sonuç</t>
  </si>
  <si>
    <t xml:space="preserve">Örnek GmbH</t>
  </si>
  <si>
    <t xml:space="preserve">Örnek FZ-LLC</t>
  </si>
  <si>
    <t xml:space="preserve">BAE</t>
  </si>
  <si>
    <t xml:space="preserve">Genel yol: iştirakin ödenmiş sermayesinin en az %10’una sahip olunması, payın kâr payının elde edildiği tarih itibarıyla en az bir yıl kesintisiz elde tutulması, iştirak kazancının en az %15 (esas faaliyeti finansal kiralama, finansman, sigorta veya menkul kıymet yatırımı olanlarda Kanunda öngörülen daha yüksek oran) vergi yükü taşıması ve beyanname verme süresine kadar Türkiye’ye transferi şartıyla kazancın tamamı istisnadır. 5/1-b 3. paragraf: bu şartlar aranmaksızın, ödenmiş sermayenin en az %20’sine sahip olunması ve kazancın beyanname süresine kadar Türkiye’ye transferi halinde 1.1.2026’dan itibaren kazancın %80’i istisnadır (11257 sayılı CBK). Tablo önce genel yolu, sağlanmıyorsa %80 yolunu uygular. Yurt dışı iştirak kazançları asgari kurumlar vergisi matrahından düşülemez.</t>
  </si>
  <si>
    <t xml:space="preserve">C. İştirake ilişkin belgeler ve vergi yükü hesabı</t>
  </si>
  <si>
    <t xml:space="preserve">Kuruluş belgesi (yetkili otorite)</t>
  </si>
  <si>
    <t xml:space="preserve">Şirket türü</t>
  </si>
  <si>
    <t xml:space="preserve">Kazancın kaynaklandığı dönem</t>
  </si>
  <si>
    <t xml:space="preserve">Kurum kazancı (TL)</t>
  </si>
  <si>
    <t xml:space="preserve">Ödenen KV ve benzeri vergiler (TL)</t>
  </si>
  <si>
    <t xml:space="preserve">Dağıtımda alınan vergi (TL)</t>
  </si>
  <si>
    <t xml:space="preserve">Vergi yükü</t>
  </si>
  <si>
    <t xml:space="preserve">Kâr dağıtım kararı tarihi</t>
  </si>
  <si>
    <t xml:space="preserve">Tahsil şekli</t>
  </si>
  <si>
    <t xml:space="preserve">Ticaret sicil kaydı</t>
  </si>
  <si>
    <t xml:space="preserve">GmbH</t>
  </si>
  <si>
    <t xml:space="preserve">2025</t>
  </si>
  <si>
    <t xml:space="preserve">Nakden</t>
  </si>
  <si>
    <t xml:space="preserve">Serbest bölge lisansı</t>
  </si>
  <si>
    <t xml:space="preserve">FZ-LLC</t>
  </si>
  <si>
    <t xml:space="preserve">Ek-12 · Bağış ve Sponsorluk İndirim Sınırı Hesabı</t>
  </si>
  <si>
    <t xml:space="preserve">Rehber Bölüm 2.9. ve 4.10. · GVK md. 89 · KVK md. 10/1-b ila f</t>
  </si>
  <si>
    <t xml:space="preserve">A. Bağış ve sponsorluk listesi</t>
  </si>
  <si>
    <t xml:space="preserve">Kurum / kulüp</t>
  </si>
  <si>
    <t xml:space="preserve">Statü</t>
  </si>
  <si>
    <t xml:space="preserve">İndirim türü</t>
  </si>
  <si>
    <t xml:space="preserve">Makbuz / sözleşme no</t>
  </si>
  <si>
    <t xml:space="preserve">Statü teyit edildi mi? (E/H)</t>
  </si>
  <si>
    <t xml:space="preserve">İndirilebilir (sınır öncesi)</t>
  </si>
  <si>
    <t xml:space="preserve">Örnek Eğitim Vakfı</t>
  </si>
  <si>
    <t xml:space="preserve">Vergi muafiyeti tanınmış vakıf</t>
  </si>
  <si>
    <t xml:space="preserve">%5 sınırlı bağış</t>
  </si>
  <si>
    <t xml:space="preserve">M-101</t>
  </si>
  <si>
    <t xml:space="preserve">Türkiye Kızılay Derneği (nakdi)</t>
  </si>
  <si>
    <t xml:space="preserve">Tamamı indirilebilir kurum</t>
  </si>
  <si>
    <t xml:space="preserve">Tamamı indirilecek bağış</t>
  </si>
  <si>
    <t xml:space="preserve">M-245</t>
  </si>
  <si>
    <t xml:space="preserve">Örnek Gençlik Spor Kulübü</t>
  </si>
  <si>
    <t xml:space="preserve">Amatör spor kulübü</t>
  </si>
  <si>
    <t xml:space="preserve">Amatör spor sponsorluğu</t>
  </si>
  <si>
    <t xml:space="preserve">S-12</t>
  </si>
  <si>
    <t xml:space="preserve">Örnek Spor Kulübü</t>
  </si>
  <si>
    <t xml:space="preserve">Profesyonel spor kulübü</t>
  </si>
  <si>
    <t xml:space="preserve">Profesyonel spor sponsorluğu</t>
  </si>
  <si>
    <t xml:space="preserve">S-31</t>
  </si>
  <si>
    <t xml:space="preserve">Toplam harcama</t>
  </si>
  <si>
    <t xml:space="preserve">B. İndirim hesabı (sıra: sponsorluk → bağış)</t>
  </si>
  <si>
    <t xml:space="preserve">Sponsorluk indirimi (amatör %100, profesyonel %50)</t>
  </si>
  <si>
    <t xml:space="preserve">Bağış sınırına esas kazanç (Ek-14: sponsorluk sonrası kalan)</t>
  </si>
  <si>
    <t xml:space="preserve">Sınır oranı (Parametreler)</t>
  </si>
  <si>
    <t xml:space="preserve">%5 sınırlı bağışlar (statüsü teyitli)</t>
  </si>
  <si>
    <t xml:space="preserve">İndirilebilir sınırlı bağış</t>
  </si>
  <si>
    <t xml:space="preserve">Tamamı indirilecek bağışlar</t>
  </si>
  <si>
    <t xml:space="preserve">Toplam bağış indirimi</t>
  </si>
  <si>
    <t xml:space="preserve">Sponsorluk harcamaları toplamı (Ek-2 KKEG’ye aktarılır)</t>
  </si>
  <si>
    <t xml:space="preserve">Bağış harcamaları toplamı (Ek-2 KKEG’ye aktarılır)</t>
  </si>
  <si>
    <t xml:space="preserve">Sınırı aşan ve indirilemeyen bağış (devretmez)</t>
  </si>
  <si>
    <t xml:space="preserve">Kazancın bulunması halinde indirilecek kalemler beyanname sırasına göre uygulanır (Ar-Ge → sponsorluk → bağış → diğer); bağış sınırı, kendisinden önceki indirimler düşüldükten sonra kalan kazanç üzerinden hesaplanır. Kazanç yoksa veya yetersizse bağış ve sponsorluk indirimi kullanılamaz ve sonraki yıla devretmez. Bu indirimler asgari kurumlar vergisi matrahından düşülemez. Beyanname satır sırasını güncel beyanname formuna göre teyit edin.</t>
  </si>
  <si>
    <t xml:space="preserve">Ek-13 · Yurt İçi Asgari Kurumlar Vergisi Hesap Tablosu</t>
  </si>
  <si>
    <t xml:space="preserve">Rehber Bölüm 1.5. ve 4.11. · KVK md. 32/C · 1 Seri No.lu KVGT</t>
  </si>
  <si>
    <t xml:space="preserve">A. Asgari vergi matrahı (TL)</t>
  </si>
  <si>
    <t xml:space="preserve">(+) Kanunen kabul edilmeyen giderler</t>
  </si>
  <si>
    <t xml:space="preserve">Ek-2 B</t>
  </si>
  <si>
    <t xml:space="preserve">İndirim ve istisnalardan önceki kurum kazancı</t>
  </si>
  <si>
    <t xml:space="preserve">(−) Asgari vergi matrahından DÜŞÜLEBİLEN istisna ve indirimler</t>
  </si>
  <si>
    <t xml:space="preserve">İştirak kazançları istisnası (KVK md. 5/1-a)</t>
  </si>
  <si>
    <t xml:space="preserve">Emisyon primi kazancı istisnası (KVK md. 5/1-ç)</t>
  </si>
  <si>
    <t xml:space="preserve">Yatırım fon ve ortaklıklarının kazançları (taşınmaz kazançları hariç) (KVK md. 5/1-d)</t>
  </si>
  <si>
    <t xml:space="preserve">Risturn, sat-kirala-geri al ve varlık kiralama kazanç istisnaları (KVK md. 5/1-i, j, k)</t>
  </si>
  <si>
    <t xml:space="preserve">Türk Uluslararası Gemi Siciline kayıtlı gemi işletme kazançları</t>
  </si>
  <si>
    <t xml:space="preserve">Girişim sermayesi fonu ve korumalı işyeri indirimleri (KVK md. 10/1-g, h)</t>
  </si>
  <si>
    <t xml:space="preserve">Serbest bölge kazanç istisnası</t>
  </si>
  <si>
    <t xml:space="preserve">Transit ticaret, nitelikli hizmet merkezi ve İFM indirimleri (7582 s. K.)</t>
  </si>
  <si>
    <t xml:space="preserve">Geçmiş yıl zararları – normal hesapta mahsup edilen tutar (Danıştay iptal kararı; GİB programı sınırı)</t>
  </si>
  <si>
    <t xml:space="preserve">Ek-14 A</t>
  </si>
  <si>
    <t xml:space="preserve">Düşülebilenler toplamı</t>
  </si>
  <si>
    <t xml:space="preserve">Asgari kurumlar vergisi matrahı</t>
  </si>
  <si>
    <t xml:space="preserve">Asgari vergi oranı (Parametreler)</t>
  </si>
  <si>
    <t xml:space="preserve">Asgari kurumlar vergisi (mahsuplar öncesi)</t>
  </si>
  <si>
    <t xml:space="preserve">B. Asgari vergi matrahından DÜŞÜLEMEYEN kalemler (bilgi – beyanda indirilen tutarlar)</t>
  </si>
  <si>
    <t xml:space="preserve">Yurt dışı iştirak kazançları istisnası (KVK md. 5/1-b)</t>
  </si>
  <si>
    <t xml:space="preserve">Taşınmaz ve iştirak hissesi satış kazancı istisnası (KVK md. 5/1-e)</t>
  </si>
  <si>
    <t xml:space="preserve">Hizmet ihracı kazanç indirimi (KVK md. 10/1-ğ)</t>
  </si>
  <si>
    <t xml:space="preserve">Nakdi sermaye artışı faiz indirimi (KVK md. 10/1-ı)</t>
  </si>
  <si>
    <t xml:space="preserve">Sponsorluk harcamaları ve bağışlar</t>
  </si>
  <si>
    <t xml:space="preserve">C. Karşılaştırma ve ödenecek fark (TL)</t>
  </si>
  <si>
    <t xml:space="preserve">(−) İhracat / üretim indirimli oranı nedeniyle alınmayan vergi</t>
  </si>
  <si>
    <t xml:space="preserve">(−) 2.8.2024 öncesi teşvik belgelerinde yatırıma katkı nedeniyle alınmayan vergi</t>
  </si>
  <si>
    <t xml:space="preserve">Asgari kurumlar vergisi (mahsuplar sonrası)</t>
  </si>
  <si>
    <t xml:space="preserve">Beyannamede hesaplanan kurumlar vergisi (KVK md. 32 ve 32/A uygulanmış)</t>
  </si>
  <si>
    <t xml:space="preserve">Faaliyete başlanılan dönem dahil ilk üç hesap dönemi mi?</t>
  </si>
  <si>
    <t xml:space="preserve">Ödenecek asgari vergi farkı</t>
  </si>
  <si>
    <t xml:space="preserve">Matrah: ticari bilanço kârı + KKEG − KVK md. 32/C’de sayılan istisna ve indirimler − geçmiş yıl zararları. Zararın asgari matrahtan düşülemeyeceğine ilişkin Tebliğ açıklamaları Danıştay 3. Dairesinin 25.11.2025 tarihli, E.2024/5700, K.2025/4831 sayılı kararıyla iptal edilmiştir; GİB beyanname düzenleme programı düşülecek zararı normal hesapta mahsup edilen tutarla (Ek-14 A, satır 15) sınırlar. Hizmet ihracı ve nakdi sermaye indirimleri, bağış ve sponsorluk ile yurt dışı iştirak ve 5/1-e istisnaları düşülemez. Hesaplama geçici vergi dönemlerinde de yapılır. Düşülebilen kalemlerin tam listesi için 1 Seri No.lu KVGT ve GİB Yurt İçi Asgari Kurumlar Vergisi Rehberi esas alınmalıdır.</t>
  </si>
  <si>
    <t xml:space="preserve">Ek-14 · Matrah Hesabı, İndirim ve İstisnaların Vergiye Etkisi ve Devreden Tutarlar</t>
  </si>
  <si>
    <t xml:space="preserve">Rehber Bölüm 4.1. · 49 Sıra No.lu Tebliğ eki rapor dispozisyonu: III-B ve III-C</t>
  </si>
  <si>
    <t xml:space="preserve">A. Beyanname sırasıyla matrah hesabı (TL)</t>
  </si>
  <si>
    <t xml:space="preserve">Hesaplanan / talep edilen</t>
  </si>
  <si>
    <t xml:space="preserve">Beyanda indirilen</t>
  </si>
  <si>
    <t xml:space="preserve">Kalan kazanç</t>
  </si>
  <si>
    <t xml:space="preserve">Zarar olsa dahi indirilecek istisnalar</t>
  </si>
  <si>
    <t xml:space="preserve">İştirak kazançları istisnası (5/1-a)</t>
  </si>
  <si>
    <t xml:space="preserve">Yurt dışı iştirak kazançları istisnası (5/1-b)</t>
  </si>
  <si>
    <t xml:space="preserve">Taşınmaz ve iştirak hissesi satış kazancı istisnası (5/1-e)</t>
  </si>
  <si>
    <t xml:space="preserve">Elle girin</t>
  </si>
  <si>
    <t xml:space="preserve">Geçmiş yıl zararları (mahsup edilebilir tutar)</t>
  </si>
  <si>
    <t xml:space="preserve">Kazancın bulunması halinde indirilecekler (beyanname sırası)</t>
  </si>
  <si>
    <t xml:space="preserve">Ek-6 – kalan devreder</t>
  </si>
  <si>
    <t xml:space="preserve">Ek-12 – kalan yanar</t>
  </si>
  <si>
    <t xml:space="preserve">Ek-4 – kalan yanar</t>
  </si>
  <si>
    <t xml:space="preserve">Ek-9 – kalan devreder</t>
  </si>
  <si>
    <t xml:space="preserve">KURUMLAR VERGİSİ MATRAHI</t>
  </si>
  <si>
    <t xml:space="preserve">Cari dönem zararı (sonraki yıllara devreder)</t>
  </si>
  <si>
    <t xml:space="preserve">B. Vergi hesabı (TL)</t>
  </si>
  <si>
    <t xml:space="preserve">Hesaplanan kurumlar vergisi – indirimli oranlar dahil (Ek-5)</t>
  </si>
  <si>
    <t xml:space="preserve">(−) Yatırıma katkı tutarı kullanımı – KVK md. 32/A (Ek-8)</t>
  </si>
  <si>
    <t xml:space="preserve">Hesaplanan kurumlar vergisi (KVK md. 32 ve 32/A uygulanmış)</t>
  </si>
  <si>
    <t xml:space="preserve">(+) Ödenecek asgari kurumlar vergisi farkı (Ek-13)</t>
  </si>
  <si>
    <t xml:space="preserve">Toplam kurumlar vergisi (geçici vergiler mahsup edilmeden)</t>
  </si>
  <si>
    <t xml:space="preserve">Gelir vergisi mükelleflerinde B bölümü yerine GVK md. 103 tarifesi uygulanır; indirimli oranlar, 32/A ve asgari vergi yalnızca kurumlar vergisi içindir.</t>
  </si>
  <si>
    <t xml:space="preserve">C. III-B: İndirim ve istisnaların hesap dönemi vergisine etkisi (TL)</t>
  </si>
  <si>
    <t xml:space="preserve">İndirim / istisna uygulanmadan</t>
  </si>
  <si>
    <t xml:space="preserve">İndirim / istisna uygulanarak</t>
  </si>
  <si>
    <t xml:space="preserve">Fark (vergi avantajı)</t>
  </si>
  <si>
    <t xml:space="preserve">Matrah</t>
  </si>
  <si>
    <t xml:space="preserve">Geçmiş yıl zararı her iki sütunda da düşülmüştür</t>
  </si>
  <si>
    <t xml:space="preserve">Hesaplanan vergi</t>
  </si>
  <si>
    <t xml:space="preserve">Uygulanmadan: genel oran; uygulanarak: indirimli oranlar ve 32/A dahil</t>
  </si>
  <si>
    <t xml:space="preserve">Asgari kurumlar vergisi farkı</t>
  </si>
  <si>
    <t xml:space="preserve">Asgari vergi avantajın bir kısmını geri alır</t>
  </si>
  <si>
    <t xml:space="preserve">Ödenecek vergi</t>
  </si>
  <si>
    <t xml:space="preserve">Fark = uygulanmadan − uygulanarak</t>
  </si>
  <si>
    <t xml:space="preserve">Fark sütunu, indirim ve istisnaların sağladığı net vergi avantajını gösterir (indirimsiz vergi − indirimli vergi). Asgari vergi satırındaki negatif fark, asgari vergi nedeniyle avantajın geri alınan kısmıdır.</t>
  </si>
  <si>
    <t xml:space="preserve">Kalem bazında brüt etki</t>
  </si>
  <si>
    <t xml:space="preserve">Asgari KV matrahından düşülebilir mi?</t>
  </si>
  <si>
    <t xml:space="preserve">Brüt vergi etkisi (× genel oran)</t>
  </si>
  <si>
    <t xml:space="preserve">5/1-a iştirak kazançları</t>
  </si>
  <si>
    <t xml:space="preserve">Evet</t>
  </si>
  <si>
    <t xml:space="preserve">5/1-b yurt dışı iştirak kazançları</t>
  </si>
  <si>
    <t xml:space="preserve">Hayır</t>
  </si>
  <si>
    <t xml:space="preserve">5/1-e taşınmaz / iştirak satış kazancı</t>
  </si>
  <si>
    <t xml:space="preserve">Teknoloji geliştirme bölgesi</t>
  </si>
  <si>
    <t xml:space="preserve">Sponsorluk</t>
  </si>
  <si>
    <t xml:space="preserve">Nakdi sermaye artışı</t>
  </si>
  <si>
    <t xml:space="preserve">D. III-C: Gelecek dönemleri etkileyen tutarlar (TL)</t>
  </si>
  <si>
    <t xml:space="preserve">Bu dönem kullanılabilir</t>
  </si>
  <si>
    <t xml:space="preserve">Beyanda kullanılan</t>
  </si>
  <si>
    <t xml:space="preserve">Gelecek döneme DEVREDEN</t>
  </si>
  <si>
    <t xml:space="preserve">DEVRETMEYEN (yanan) / not</t>
  </si>
  <si>
    <t xml:space="preserve">Yeniden değerleme oranıyla endekslenerek devreder</t>
  </si>
  <si>
    <t xml:space="preserve">Nakdi sermaye faiz indirimi</t>
  </si>
  <si>
    <t xml:space="preserve">Devreder (süre içinde)</t>
  </si>
  <si>
    <t xml:space="preserve">Yatırıma katkı tutarı (KVK md. 32/A)</t>
  </si>
  <si>
    <t xml:space="preserve">Geçmiş yıl ve cari dönem zararları</t>
  </si>
  <si>
    <t xml:space="preserve">5 yıl içinde mahsup edilir; aynı tutar asgari vergi matrahından da düşülür (Ek-13)</t>
  </si>
  <si>
    <t xml:space="preserve">Bağış ve yardımlar (sınırı aşan kısım dahil)</t>
  </si>
  <si>
    <t xml:space="preserve">32/A satırında “Gelecek döneme devreden” kalan toplam katkıyı, G sütunu ise kazanç varken kullanılmadığı için yanan katkıyı gösterir (7555 sonrası belgeler). Sponsorluk, bağış ve hizmet ihracı indirimlerinin kazanç yetersizliği nedeniyle kullanılamayan kısmı sonraki yıla devretmez. Tablo III-C bölümü için kullanılır.</t>
  </si>
</sst>
</file>

<file path=xl/styles.xml><?xml version="1.0" encoding="utf-8"?>
<styleSheet xmlns="http://schemas.openxmlformats.org/spreadsheetml/2006/main">
  <numFmts count="11">
    <numFmt numFmtId="164" formatCode="General"/>
    <numFmt numFmtId="165" formatCode="0"/>
    <numFmt numFmtId="166" formatCode="0.00%"/>
    <numFmt numFmtId="167" formatCode="dd\.mm\.yyyy"/>
    <numFmt numFmtId="168" formatCode="#,##0;\(#,##0\);\-"/>
    <numFmt numFmtId="169" formatCode="0.0"/>
    <numFmt numFmtId="170" formatCode="#,##0.00;\(#,##0.00\);\-"/>
    <numFmt numFmtId="171" formatCode="0.0000"/>
    <numFmt numFmtId="172" formatCode="0%"/>
    <numFmt numFmtId="173" formatCode="#,##0"/>
    <numFmt numFmtId="174" formatCode="0.0%"/>
  </numFmts>
  <fonts count="23">
    <font>
      <sz val="11"/>
      <color theme="1"/>
      <name val="Calibri"/>
      <family val="2"/>
      <charset val="1"/>
    </font>
    <font>
      <sz val="10"/>
      <name val="Arial"/>
      <family val="0"/>
    </font>
    <font>
      <sz val="10"/>
      <name val="Arial"/>
      <family val="0"/>
    </font>
    <font>
      <sz val="10"/>
      <name val="Arial"/>
      <family val="0"/>
    </font>
    <font>
      <b val="true"/>
      <sz val="16"/>
      <color rgb="FF0B3C6D"/>
      <name val="Arial"/>
      <family val="0"/>
      <charset val="1"/>
    </font>
    <font>
      <i val="true"/>
      <sz val="10"/>
      <color rgb="FF5A6875"/>
      <name val="Arial"/>
      <family val="0"/>
      <charset val="1"/>
    </font>
    <font>
      <b val="true"/>
      <sz val="9"/>
      <color rgb="FFFFFFFF"/>
      <name val="Arial"/>
      <family val="0"/>
      <charset val="1"/>
    </font>
    <font>
      <b val="true"/>
      <sz val="10"/>
      <name val="Arial"/>
      <family val="0"/>
      <charset val="1"/>
    </font>
    <font>
      <sz val="10"/>
      <name val="Arial"/>
      <family val="0"/>
      <charset val="1"/>
    </font>
    <font>
      <u val="single"/>
      <sz val="10"/>
      <color rgb="FF0563C1"/>
      <name val="Arial"/>
      <family val="0"/>
      <charset val="1"/>
    </font>
    <font>
      <b val="true"/>
      <sz val="11"/>
      <color rgb="FFFFFFFF"/>
      <name val="Arial"/>
      <family val="0"/>
      <charset val="1"/>
    </font>
    <font>
      <b val="true"/>
      <sz val="10"/>
      <color rgb="FFE8821E"/>
      <name val="Arial"/>
      <family val="0"/>
      <charset val="1"/>
    </font>
    <font>
      <b val="true"/>
      <sz val="10"/>
      <color rgb="FF000000"/>
      <name val="Arial"/>
      <family val="0"/>
      <charset val="1"/>
    </font>
    <font>
      <b val="true"/>
      <sz val="10"/>
      <color rgb="FF0B3C6D"/>
      <name val="Arial"/>
      <family val="0"/>
      <charset val="1"/>
    </font>
    <font>
      <sz val="9"/>
      <color rgb="FF0000FF"/>
      <name val="Arial"/>
      <family val="0"/>
      <charset val="1"/>
    </font>
    <font>
      <sz val="9"/>
      <name val="Arial"/>
      <family val="0"/>
      <charset val="1"/>
    </font>
    <font>
      <sz val="9"/>
      <color rgb="FF000000"/>
      <name val="Arial"/>
      <family val="0"/>
      <charset val="1"/>
    </font>
    <font>
      <i val="true"/>
      <sz val="9"/>
      <color rgb="FF5A6875"/>
      <name val="Arial"/>
      <family val="0"/>
      <charset val="1"/>
    </font>
    <font>
      <b val="true"/>
      <sz val="14"/>
      <color rgb="FF0B3C6D"/>
      <name val="Arial"/>
      <family val="0"/>
      <charset val="1"/>
    </font>
    <font>
      <sz val="9"/>
      <color rgb="FF0094A8"/>
      <name val="Arial"/>
      <family val="0"/>
      <charset val="1"/>
    </font>
    <font>
      <sz val="10"/>
      <color rgb="FF0000FF"/>
      <name val="Arial"/>
      <family val="0"/>
      <charset val="1"/>
    </font>
    <font>
      <sz val="10"/>
      <color rgb="FF000000"/>
      <name val="Arial"/>
      <family val="0"/>
      <charset val="1"/>
    </font>
    <font>
      <i val="true"/>
      <sz val="8.5"/>
      <color rgb="FF5A6875"/>
      <name val="Arial"/>
      <family val="0"/>
      <charset val="1"/>
    </font>
  </fonts>
  <fills count="6">
    <fill>
      <patternFill patternType="none"/>
    </fill>
    <fill>
      <patternFill patternType="gray125"/>
    </fill>
    <fill>
      <patternFill patternType="solid">
        <fgColor rgb="FF0B3C6D"/>
        <bgColor rgb="FF333399"/>
      </patternFill>
    </fill>
    <fill>
      <patternFill patternType="solid">
        <fgColor rgb="FF0094A8"/>
        <bgColor rgb="FF008080"/>
      </patternFill>
    </fill>
    <fill>
      <patternFill patternType="solid">
        <fgColor rgb="FFFFF2CC"/>
        <bgColor rgb="FFE7EEF5"/>
      </patternFill>
    </fill>
    <fill>
      <patternFill patternType="solid">
        <fgColor rgb="FFE7EEF5"/>
        <bgColor rgb="FFFFFFFF"/>
      </patternFill>
    </fill>
  </fills>
  <borders count="2">
    <border diagonalUp="false" diagonalDown="false">
      <left/>
      <right/>
      <top/>
      <bottom/>
      <diagonal/>
    </border>
    <border diagonalUp="false" diagonalDown="false">
      <left style="thin">
        <color rgb="FFB7C4D1"/>
      </left>
      <right style="thin">
        <color rgb="FFB7C4D1"/>
      </right>
      <top style="thin">
        <color rgb="FFB7C4D1"/>
      </top>
      <bottom style="thin">
        <color rgb="FFB7C4D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general" vertical="bottom" textRotation="0" wrapText="false" indent="0" shrinkToFit="false"/>
      <protection locked="true" hidden="false"/>
    </xf>
    <xf numFmtId="164" fontId="0" fillId="3" borderId="0" xfId="0" applyFont="fals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bottom" textRotation="0" wrapText="true" indent="0" shrinkToFit="false"/>
      <protection locked="true" hidden="false"/>
    </xf>
    <xf numFmtId="164" fontId="12" fillId="0" borderId="1" xfId="0" applyFont="true" applyBorder="tru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4" fillId="4" borderId="1" xfId="0" applyFont="true" applyBorder="tru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4" fontId="16" fillId="0" borderId="1" xfId="0" applyFont="true" applyBorder="true" applyAlignment="true" applyProtection="false">
      <alignment horizontal="general" vertical="bottom" textRotation="0" wrapText="false" indent="0" shrinkToFit="false"/>
      <protection locked="true" hidden="false"/>
    </xf>
    <xf numFmtId="164" fontId="17" fillId="0" borderId="0" xfId="0" applyFont="true" applyBorder="true" applyAlignment="true" applyProtection="false">
      <alignment horizontal="general" vertical="top" textRotation="0" wrapText="true" indent="0" shrinkToFit="false"/>
      <protection locked="true" hidden="false"/>
    </xf>
    <xf numFmtId="164" fontId="18"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bottom" textRotation="0" wrapText="false" indent="0" shrinkToFit="false"/>
      <protection locked="true" hidden="false"/>
    </xf>
    <xf numFmtId="165" fontId="20" fillId="4" borderId="1" xfId="0" applyFont="true" applyBorder="true" applyAlignment="true" applyProtection="false">
      <alignment horizontal="general" vertical="bottom" textRotation="0" wrapText="false" indent="0" shrinkToFit="false"/>
      <protection locked="true" hidden="false"/>
    </xf>
    <xf numFmtId="164" fontId="21" fillId="0" borderId="1" xfId="0" applyFont="true" applyBorder="true" applyAlignment="true" applyProtection="false">
      <alignment horizontal="general" vertical="bottom" textRotation="0" wrapText="false" indent="0" shrinkToFit="false"/>
      <protection locked="true" hidden="false"/>
    </xf>
    <xf numFmtId="166" fontId="20" fillId="4" borderId="1" xfId="0" applyFont="true" applyBorder="true" applyAlignment="true" applyProtection="false">
      <alignment horizontal="general" vertical="bottom" textRotation="0" wrapText="false" indent="0" shrinkToFit="false"/>
      <protection locked="true" hidden="false"/>
    </xf>
    <xf numFmtId="164" fontId="22" fillId="0" borderId="0" xfId="0" applyFont="true" applyBorder="false" applyAlignment="true" applyProtection="false">
      <alignment horizontal="general" vertical="bottom" textRotation="0" wrapText="false" indent="0" shrinkToFit="false"/>
      <protection locked="true" hidden="false"/>
    </xf>
    <xf numFmtId="167" fontId="21" fillId="0" borderId="1" xfId="0" applyFont="true" applyBorder="true" applyAlignment="true" applyProtection="false">
      <alignment horizontal="general" vertical="bottom" textRotation="0" wrapText="false" indent="0" shrinkToFit="false"/>
      <protection locked="true" hidden="false"/>
    </xf>
    <xf numFmtId="168" fontId="20" fillId="4" borderId="1" xfId="0" applyFont="true" applyBorder="true" applyAlignment="true" applyProtection="false">
      <alignment horizontal="general" vertical="bottom" textRotation="0" wrapText="false" indent="0" shrinkToFit="false"/>
      <protection locked="true" hidden="false"/>
    </xf>
    <xf numFmtId="168" fontId="12" fillId="0" borderId="1" xfId="0" applyFont="true" applyBorder="true" applyAlignment="true" applyProtection="false">
      <alignment horizontal="general" vertical="bottom" textRotation="0" wrapText="false" indent="0" shrinkToFit="false"/>
      <protection locked="true" hidden="false"/>
    </xf>
    <xf numFmtId="164" fontId="20" fillId="4" borderId="1" xfId="0" applyFont="true" applyBorder="true" applyAlignment="true" applyProtection="false">
      <alignment horizontal="general" vertical="bottom" textRotation="0" wrapText="false" indent="0" shrinkToFit="false"/>
      <protection locked="true" hidden="false"/>
    </xf>
    <xf numFmtId="167" fontId="20" fillId="4" borderId="1" xfId="0" applyFont="true" applyBorder="true" applyAlignment="true" applyProtection="false">
      <alignment horizontal="general" vertical="bottom" textRotation="0" wrapText="false" indent="0" shrinkToFit="false"/>
      <protection locked="true" hidden="false"/>
    </xf>
    <xf numFmtId="166" fontId="21" fillId="0" borderId="1" xfId="0" applyFont="true" applyBorder="true" applyAlignment="tru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general" vertical="center" textRotation="0" wrapText="true" indent="0" shrinkToFit="false"/>
      <protection locked="true" hidden="false"/>
    </xf>
    <xf numFmtId="169" fontId="12" fillId="0" borderId="1" xfId="0" applyFont="true" applyBorder="true" applyAlignment="true" applyProtection="false">
      <alignment horizontal="general" vertical="bottom" textRotation="0" wrapText="false" indent="0" shrinkToFit="false"/>
      <protection locked="true" hidden="false"/>
    </xf>
    <xf numFmtId="168" fontId="21" fillId="0" borderId="1" xfId="0" applyFont="true" applyBorder="true" applyAlignment="true" applyProtection="false">
      <alignment horizontal="general" vertical="bottom" textRotation="0" wrapText="false" indent="0" shrinkToFit="false"/>
      <protection locked="true" hidden="false"/>
    </xf>
    <xf numFmtId="166" fontId="12" fillId="0" borderId="1" xfId="0" applyFont="true" applyBorder="true" applyAlignment="true" applyProtection="false">
      <alignment horizontal="general" vertical="bottom" textRotation="0" wrapText="false" indent="0" shrinkToFit="false"/>
      <protection locked="true" hidden="false"/>
    </xf>
    <xf numFmtId="170" fontId="20" fillId="4" borderId="1" xfId="0" applyFont="true" applyBorder="true" applyAlignment="true" applyProtection="false">
      <alignment horizontal="general" vertical="bottom" textRotation="0" wrapText="false" indent="0" shrinkToFit="false"/>
      <protection locked="true" hidden="false"/>
    </xf>
    <xf numFmtId="171" fontId="20" fillId="4" borderId="1" xfId="0" applyFont="true" applyBorder="true" applyAlignment="true" applyProtection="false">
      <alignment horizontal="general" vertical="bottom" textRotation="0" wrapText="false" indent="0" shrinkToFit="false"/>
      <protection locked="true" hidden="false"/>
    </xf>
    <xf numFmtId="170" fontId="21" fillId="0" borderId="1" xfId="0" applyFont="true" applyBorder="true" applyAlignment="true" applyProtection="false">
      <alignment horizontal="general" vertical="bottom" textRotation="0" wrapText="false" indent="0" shrinkToFit="false"/>
      <protection locked="true" hidden="false"/>
    </xf>
    <xf numFmtId="165" fontId="12" fillId="0" borderId="1" xfId="0" applyFont="true" applyBorder="true" applyAlignment="true" applyProtection="false">
      <alignment horizontal="general" vertical="bottom" textRotation="0" wrapText="false" indent="0" shrinkToFit="false"/>
      <protection locked="true" hidden="false"/>
    </xf>
    <xf numFmtId="167" fontId="12" fillId="0" borderId="1" xfId="0" applyFont="true" applyBorder="true" applyAlignment="true" applyProtection="false">
      <alignment horizontal="general" vertical="bottom" textRotation="0" wrapText="false" indent="0" shrinkToFit="false"/>
      <protection locked="true" hidden="false"/>
    </xf>
    <xf numFmtId="170" fontId="12" fillId="0" borderId="1" xfId="0" applyFont="true" applyBorder="true" applyAlignment="true" applyProtection="false">
      <alignment horizontal="general" vertical="bottom" textRotation="0" wrapText="false" indent="0" shrinkToFit="false"/>
      <protection locked="true" hidden="false"/>
    </xf>
    <xf numFmtId="165" fontId="21" fillId="0" borderId="1" xfId="0" applyFont="true" applyBorder="true" applyAlignment="true" applyProtection="false">
      <alignment horizontal="general" vertical="bottom" textRotation="0" wrapText="false" indent="0" shrinkToFit="false"/>
      <protection locked="true" hidden="false"/>
    </xf>
    <xf numFmtId="172" fontId="21" fillId="0" borderId="1" xfId="0" applyFont="true" applyBorder="true" applyAlignment="true" applyProtection="false">
      <alignment horizontal="general" vertical="bottom" textRotation="0" wrapText="false" indent="0" shrinkToFit="false"/>
      <protection locked="true" hidden="false"/>
    </xf>
    <xf numFmtId="173" fontId="20" fillId="4" borderId="1" xfId="0" applyFont="true" applyBorder="true" applyAlignment="true" applyProtection="false">
      <alignment horizontal="general" vertical="bottom" textRotation="0" wrapText="false" indent="0" shrinkToFit="false"/>
      <protection locked="true" hidden="false"/>
    </xf>
    <xf numFmtId="172" fontId="20" fillId="4" borderId="1" xfId="0" applyFont="true" applyBorder="true" applyAlignment="true" applyProtection="false">
      <alignment horizontal="general" vertical="bottom" textRotation="0" wrapText="false" indent="0" shrinkToFit="false"/>
      <protection locked="true" hidden="false"/>
    </xf>
    <xf numFmtId="174" fontId="21" fillId="0" borderId="1" xfId="0" applyFont="true" applyBorder="tru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2E8B57"/>
      </font>
    </dxf>
    <dxf>
      <font>
        <name val="Arial"/>
        <charset val="1"/>
        <family val="0"/>
        <b val="1"/>
        <color rgb="FFC0392B"/>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94A8"/>
      <rgbColor rgb="FFB7C4D1"/>
      <rgbColor rgb="FF808080"/>
      <rgbColor rgb="FF9999FF"/>
      <rgbColor rgb="FF993366"/>
      <rgbColor rgb="FFFFF2CC"/>
      <rgbColor rgb="FFE7EEF5"/>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E8821E"/>
      <rgbColor rgb="FFFF6600"/>
      <rgbColor rgb="FF5A6875"/>
      <rgbColor rgb="FF969696"/>
      <rgbColor rgb="FF0B3C6D"/>
      <rgbColor rgb="FF2E8B57"/>
      <rgbColor rgb="FF003300"/>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AT_YMM_Rehber_Ekler_Ek1-Ek14.xlsx" TargetMode="External"/><Relationship Id="rId2" Type="http://schemas.openxmlformats.org/officeDocument/2006/relationships/hyperlink" Target="AT_YMM_Rehber_Ekler_Ek1-Ek14.xlsx" TargetMode="External"/><Relationship Id="rId3" Type="http://schemas.openxmlformats.org/officeDocument/2006/relationships/hyperlink" Target="AT_YMM_Rehber_Ekler_Ek1-Ek14.xlsx" TargetMode="External"/><Relationship Id="rId4" Type="http://schemas.openxmlformats.org/officeDocument/2006/relationships/hyperlink" Target="AT_YMM_Rehber_Ekler_Ek1-Ek14.xlsx" TargetMode="External"/><Relationship Id="rId5" Type="http://schemas.openxmlformats.org/officeDocument/2006/relationships/hyperlink" Target="AT_YMM_Rehber_Ekler_Ek1-Ek14.xlsx" TargetMode="External"/><Relationship Id="rId6" Type="http://schemas.openxmlformats.org/officeDocument/2006/relationships/hyperlink" Target="AT_YMM_Rehber_Ekler_Ek1-Ek14.xlsx" TargetMode="External"/><Relationship Id="rId7" Type="http://schemas.openxmlformats.org/officeDocument/2006/relationships/hyperlink" Target="AT_YMM_Rehber_Ekler_Ek1-Ek14.xlsx" TargetMode="External"/><Relationship Id="rId8" Type="http://schemas.openxmlformats.org/officeDocument/2006/relationships/hyperlink" Target="AT_YMM_Rehber_Ekler_Ek1-Ek14.xlsx" TargetMode="External"/><Relationship Id="rId9" Type="http://schemas.openxmlformats.org/officeDocument/2006/relationships/hyperlink" Target="AT_YMM_Rehber_Ekler_Ek1-Ek14.xlsx" TargetMode="External"/><Relationship Id="rId10" Type="http://schemas.openxmlformats.org/officeDocument/2006/relationships/hyperlink" Target="AT_YMM_Rehber_Ekler_Ek1-Ek14.xlsx" TargetMode="External"/><Relationship Id="rId11" Type="http://schemas.openxmlformats.org/officeDocument/2006/relationships/hyperlink" Target="AT_YMM_Rehber_Ekler_Ek1-Ek14.xlsx" TargetMode="External"/><Relationship Id="rId12" Type="http://schemas.openxmlformats.org/officeDocument/2006/relationships/hyperlink" Target="AT_YMM_Rehber_Ekler_Ek1-Ek14.xlsx" TargetMode="External"/><Relationship Id="rId13" Type="http://schemas.openxmlformats.org/officeDocument/2006/relationships/hyperlink" Target="AT_YMM_Rehber_Ekler_Ek1-Ek14.xlsx" TargetMode="External"/><Relationship Id="rId14" Type="http://schemas.openxmlformats.org/officeDocument/2006/relationships/hyperlink" Target="AT_YMM_Rehber_Ekler_Ek1-Ek14.xlsx" TargetMode="External"/><Relationship Id="rId15" Type="http://schemas.openxmlformats.org/officeDocument/2006/relationships/hyperlink" Target="AT_YMM_Rehber_Ekler_Ek1-Ek14.xlsx"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4"/>
    <col collapsed="false" customWidth="true" hidden="false" outlineLevel="0" max="2" min="2" style="1" width="82"/>
    <col collapsed="false" customWidth="true" hidden="false" outlineLevel="0" max="3" min="3" style="1" width="18"/>
    <col collapsed="false" customWidth="true" hidden="false" outlineLevel="0" max="4" min="4" style="1" width="16"/>
  </cols>
  <sheetData>
    <row r="1" customFormat="false" ht="19.5" hidden="false" customHeight="true" outlineLevel="0" collapsed="false">
      <c r="A1" s="2" t="s">
        <v>0</v>
      </c>
    </row>
    <row r="2" customFormat="false" ht="15" hidden="false" customHeight="true" outlineLevel="0" collapsed="false">
      <c r="A2" s="3" t="s">
        <v>1</v>
      </c>
    </row>
    <row r="4" customFormat="false" ht="42" hidden="false" customHeight="true" outlineLevel="0" collapsed="false">
      <c r="A4" s="4" t="s">
        <v>2</v>
      </c>
      <c r="B4" s="4" t="s">
        <v>3</v>
      </c>
      <c r="C4" s="4" t="s">
        <v>4</v>
      </c>
      <c r="D4" s="4" t="s">
        <v>5</v>
      </c>
    </row>
    <row r="5" customFormat="false" ht="15" hidden="false" customHeight="true" outlineLevel="0" collapsed="false">
      <c r="A5" s="5" t="s">
        <v>6</v>
      </c>
      <c r="B5" s="6" t="s">
        <v>7</v>
      </c>
      <c r="C5" s="6" t="s">
        <v>8</v>
      </c>
      <c r="D5" s="7" t="s">
        <v>9</v>
      </c>
    </row>
    <row r="6" customFormat="false" ht="15" hidden="false" customHeight="true" outlineLevel="0" collapsed="false">
      <c r="A6" s="5" t="s">
        <v>10</v>
      </c>
      <c r="B6" s="6" t="s">
        <v>11</v>
      </c>
      <c r="C6" s="6" t="s">
        <v>12</v>
      </c>
      <c r="D6" s="7" t="s">
        <v>9</v>
      </c>
    </row>
    <row r="7" customFormat="false" ht="15" hidden="false" customHeight="true" outlineLevel="0" collapsed="false">
      <c r="A7" s="5" t="s">
        <v>13</v>
      </c>
      <c r="B7" s="6" t="s">
        <v>14</v>
      </c>
      <c r="C7" s="6" t="s">
        <v>12</v>
      </c>
      <c r="D7" s="7" t="s">
        <v>9</v>
      </c>
    </row>
    <row r="8" customFormat="false" ht="15" hidden="false" customHeight="true" outlineLevel="0" collapsed="false">
      <c r="A8" s="5" t="s">
        <v>15</v>
      </c>
      <c r="B8" s="6" t="s">
        <v>16</v>
      </c>
      <c r="C8" s="6" t="s">
        <v>17</v>
      </c>
      <c r="D8" s="7" t="s">
        <v>9</v>
      </c>
    </row>
    <row r="9" customFormat="false" ht="15" hidden="false" customHeight="true" outlineLevel="0" collapsed="false">
      <c r="A9" s="5" t="s">
        <v>18</v>
      </c>
      <c r="B9" s="6" t="s">
        <v>19</v>
      </c>
      <c r="C9" s="6" t="s">
        <v>20</v>
      </c>
      <c r="D9" s="7" t="s">
        <v>9</v>
      </c>
    </row>
    <row r="10" customFormat="false" ht="15" hidden="false" customHeight="true" outlineLevel="0" collapsed="false">
      <c r="A10" s="5" t="s">
        <v>21</v>
      </c>
      <c r="B10" s="6" t="s">
        <v>22</v>
      </c>
      <c r="C10" s="6" t="s">
        <v>23</v>
      </c>
      <c r="D10" s="7" t="s">
        <v>9</v>
      </c>
    </row>
    <row r="11" customFormat="false" ht="15" hidden="false" customHeight="true" outlineLevel="0" collapsed="false">
      <c r="A11" s="5" t="s">
        <v>24</v>
      </c>
      <c r="B11" s="6" t="s">
        <v>25</v>
      </c>
      <c r="C11" s="6" t="s">
        <v>26</v>
      </c>
      <c r="D11" s="7" t="s">
        <v>9</v>
      </c>
    </row>
    <row r="12" customFormat="false" ht="15" hidden="false" customHeight="true" outlineLevel="0" collapsed="false">
      <c r="A12" s="5" t="s">
        <v>27</v>
      </c>
      <c r="B12" s="6" t="s">
        <v>28</v>
      </c>
      <c r="C12" s="6" t="s">
        <v>29</v>
      </c>
      <c r="D12" s="7" t="s">
        <v>9</v>
      </c>
    </row>
    <row r="13" customFormat="false" ht="15" hidden="false" customHeight="true" outlineLevel="0" collapsed="false">
      <c r="A13" s="5" t="s">
        <v>30</v>
      </c>
      <c r="B13" s="6" t="s">
        <v>31</v>
      </c>
      <c r="C13" s="6" t="s">
        <v>32</v>
      </c>
      <c r="D13" s="7" t="s">
        <v>9</v>
      </c>
    </row>
    <row r="14" customFormat="false" ht="15" hidden="false" customHeight="true" outlineLevel="0" collapsed="false">
      <c r="A14" s="5" t="s">
        <v>33</v>
      </c>
      <c r="B14" s="6" t="s">
        <v>34</v>
      </c>
      <c r="C14" s="6" t="s">
        <v>35</v>
      </c>
      <c r="D14" s="7" t="s">
        <v>9</v>
      </c>
    </row>
    <row r="15" customFormat="false" ht="15" hidden="false" customHeight="true" outlineLevel="0" collapsed="false">
      <c r="A15" s="5" t="s">
        <v>36</v>
      </c>
      <c r="B15" s="6" t="s">
        <v>37</v>
      </c>
      <c r="C15" s="6" t="s">
        <v>38</v>
      </c>
      <c r="D15" s="7" t="s">
        <v>9</v>
      </c>
    </row>
    <row r="16" customFormat="false" ht="15" hidden="false" customHeight="true" outlineLevel="0" collapsed="false">
      <c r="A16" s="5" t="s">
        <v>39</v>
      </c>
      <c r="B16" s="6" t="s">
        <v>40</v>
      </c>
      <c r="C16" s="6" t="s">
        <v>41</v>
      </c>
      <c r="D16" s="7" t="s">
        <v>9</v>
      </c>
    </row>
    <row r="17" customFormat="false" ht="15" hidden="false" customHeight="true" outlineLevel="0" collapsed="false">
      <c r="A17" s="5" t="s">
        <v>42</v>
      </c>
      <c r="B17" s="6" t="s">
        <v>43</v>
      </c>
      <c r="C17" s="6" t="s">
        <v>44</v>
      </c>
      <c r="D17" s="7" t="s">
        <v>9</v>
      </c>
    </row>
    <row r="18" customFormat="false" ht="15" hidden="false" customHeight="true" outlineLevel="0" collapsed="false">
      <c r="A18" s="5" t="s">
        <v>45</v>
      </c>
      <c r="B18" s="6" t="s">
        <v>46</v>
      </c>
      <c r="C18" s="6" t="s">
        <v>47</v>
      </c>
      <c r="D18" s="7" t="s">
        <v>9</v>
      </c>
    </row>
    <row r="19" customFormat="false" ht="15" hidden="false" customHeight="true" outlineLevel="0" collapsed="false">
      <c r="A19" s="5" t="s">
        <v>48</v>
      </c>
      <c r="B19" s="6" t="s">
        <v>49</v>
      </c>
      <c r="C19" s="6" t="s">
        <v>12</v>
      </c>
      <c r="D19" s="7" t="s">
        <v>9</v>
      </c>
    </row>
    <row r="21" customFormat="false" ht="15" hidden="false" customHeight="true" outlineLevel="0" collapsed="false">
      <c r="A21" s="8" t="s">
        <v>50</v>
      </c>
      <c r="B21" s="9"/>
      <c r="C21" s="9"/>
      <c r="D21" s="9"/>
    </row>
    <row r="22" customFormat="false" ht="27.75" hidden="false" customHeight="true" outlineLevel="0" collapsed="false">
      <c r="A22" s="10" t="s">
        <v>51</v>
      </c>
      <c r="B22" s="11" t="s">
        <v>52</v>
      </c>
      <c r="C22" s="11"/>
      <c r="D22" s="11"/>
    </row>
    <row r="23" customFormat="false" ht="27.75" hidden="false" customHeight="true" outlineLevel="0" collapsed="false">
      <c r="A23" s="10" t="s">
        <v>51</v>
      </c>
      <c r="B23" s="11" t="s">
        <v>53</v>
      </c>
      <c r="C23" s="11"/>
      <c r="D23" s="11"/>
    </row>
    <row r="24" customFormat="false" ht="27.75" hidden="false" customHeight="true" outlineLevel="0" collapsed="false">
      <c r="A24" s="10" t="s">
        <v>51</v>
      </c>
      <c r="B24" s="11" t="s">
        <v>54</v>
      </c>
      <c r="C24" s="11"/>
      <c r="D24" s="11"/>
    </row>
    <row r="25" customFormat="false" ht="27.75" hidden="false" customHeight="true" outlineLevel="0" collapsed="false">
      <c r="A25" s="10" t="s">
        <v>51</v>
      </c>
      <c r="B25" s="11" t="s">
        <v>55</v>
      </c>
      <c r="C25" s="11"/>
      <c r="D25" s="11"/>
    </row>
    <row r="27" customFormat="false" ht="15" hidden="false" customHeight="true" outlineLevel="0" collapsed="false">
      <c r="A27" s="8" t="s">
        <v>56</v>
      </c>
      <c r="B27" s="9"/>
      <c r="C27" s="9"/>
      <c r="D27" s="9"/>
    </row>
    <row r="28" customFormat="false" ht="15" hidden="false" customHeight="true" outlineLevel="0" collapsed="false">
      <c r="A28" s="5" t="s">
        <v>15</v>
      </c>
      <c r="B28" s="6" t="s">
        <v>57</v>
      </c>
      <c r="C28" s="12" t="str">
        <f aca="false">'Ek-3'!G16</f>
        <v>Uyumlu</v>
      </c>
      <c r="D28" s="12"/>
    </row>
    <row r="29" customFormat="false" ht="15" hidden="false" customHeight="true" outlineLevel="0" collapsed="false">
      <c r="A29" s="5" t="s">
        <v>15</v>
      </c>
      <c r="B29" s="6" t="s">
        <v>58</v>
      </c>
      <c r="C29" s="12" t="str">
        <f aca="false">'Ek-3'!B29</f>
        <v>Uyumlu</v>
      </c>
      <c r="D29" s="12"/>
    </row>
    <row r="30" customFormat="false" ht="15" hidden="false" customHeight="true" outlineLevel="0" collapsed="false">
      <c r="A30" s="5" t="s">
        <v>18</v>
      </c>
      <c r="B30" s="6" t="s">
        <v>59</v>
      </c>
      <c r="C30" s="12" t="str">
        <f aca="false">'Ek-4'!D29</f>
        <v>Uyumlu</v>
      </c>
      <c r="D30" s="12"/>
    </row>
    <row r="31" customFormat="false" ht="15" hidden="false" customHeight="true" outlineLevel="0" collapsed="false">
      <c r="A31" s="5" t="s">
        <v>18</v>
      </c>
      <c r="B31" s="6" t="s">
        <v>60</v>
      </c>
      <c r="C31" s="12" t="str">
        <f aca="false">'Ek-4'!G55</f>
        <v>Uyumlu</v>
      </c>
      <c r="D31" s="12"/>
    </row>
    <row r="32" customFormat="false" ht="15" hidden="false" customHeight="true" outlineLevel="0" collapsed="false">
      <c r="A32" s="5" t="s">
        <v>27</v>
      </c>
      <c r="B32" s="6" t="s">
        <v>61</v>
      </c>
      <c r="C32" s="12" t="str">
        <f aca="false">'Ek-7'!F23</f>
        <v>Uyumlu</v>
      </c>
      <c r="D32" s="12"/>
    </row>
    <row r="33" customFormat="false" ht="15" hidden="false" customHeight="true" outlineLevel="0" collapsed="false">
      <c r="A33" s="5" t="s">
        <v>27</v>
      </c>
      <c r="B33" s="6" t="s">
        <v>62</v>
      </c>
      <c r="C33" s="12" t="str">
        <f aca="false">'Ek-7'!F25</f>
        <v>Uyumlu</v>
      </c>
      <c r="D33" s="12"/>
    </row>
    <row r="34" customFormat="false" ht="15" hidden="false" customHeight="true" outlineLevel="0" collapsed="false">
      <c r="A34" s="5" t="s">
        <v>30</v>
      </c>
      <c r="B34" s="6" t="s">
        <v>63</v>
      </c>
      <c r="C34" s="12" t="str">
        <f aca="false">IF(COUNTIF('Ek-8'!N24:N33,"Hata*")=0,"Tamam","Hata var")</f>
        <v>Tamam</v>
      </c>
      <c r="D34" s="12"/>
    </row>
    <row r="35" customFormat="false" ht="15" hidden="false" customHeight="true" outlineLevel="0" collapsed="false">
      <c r="A35" s="5" t="s">
        <v>13</v>
      </c>
      <c r="B35" s="6" t="s">
        <v>64</v>
      </c>
      <c r="C35" s="12" t="str">
        <f aca="false">'Ek-2'!E28</f>
        <v>YMM tasdik raporu gerekli (son gün: Parametreler D13)</v>
      </c>
      <c r="D35" s="12"/>
    </row>
    <row r="37" customFormat="false" ht="15" hidden="false" customHeight="true" outlineLevel="0" collapsed="false">
      <c r="A37" s="13" t="s">
        <v>65</v>
      </c>
    </row>
    <row r="38" customFormat="false" ht="15" hidden="false" customHeight="true" outlineLevel="0" collapsed="false">
      <c r="A38" s="14" t="s">
        <v>66</v>
      </c>
      <c r="B38" s="15" t="s">
        <v>67</v>
      </c>
    </row>
    <row r="39" customFormat="false" ht="15" hidden="false" customHeight="true" outlineLevel="0" collapsed="false">
      <c r="A39" s="16" t="s">
        <v>68</v>
      </c>
      <c r="B39" s="15" t="s">
        <v>69</v>
      </c>
    </row>
    <row r="41" customFormat="false" ht="57.75" hidden="false" customHeight="true" outlineLevel="0" collapsed="false">
      <c r="A41" s="17" t="s">
        <v>70</v>
      </c>
      <c r="B41" s="17"/>
      <c r="C41" s="17"/>
      <c r="D41" s="17"/>
    </row>
  </sheetData>
  <mergeCells count="13">
    <mergeCell ref="B22:D22"/>
    <mergeCell ref="B23:D23"/>
    <mergeCell ref="B24:D24"/>
    <mergeCell ref="B25:D25"/>
    <mergeCell ref="C28:D28"/>
    <mergeCell ref="C29:D29"/>
    <mergeCell ref="C30:D30"/>
    <mergeCell ref="C31:D31"/>
    <mergeCell ref="C32:D32"/>
    <mergeCell ref="C33:D33"/>
    <mergeCell ref="C34:D34"/>
    <mergeCell ref="C35:D35"/>
    <mergeCell ref="A41:D41"/>
  </mergeCells>
  <conditionalFormatting sqref="C28">
    <cfRule type="expression" priority="2" aboveAverage="0" equalAverage="0" bottom="0" percent="0" rank="0" text="" dxfId="0">
      <formula>OR(LEFT(C28,6)="Uyumlu",LEFT(C28,5)="Tamam",LEFT(C28,5)="Uygun")</formula>
    </cfRule>
    <cfRule type="expression" priority="3" aboveAverage="0" equalAverage="0" bottom="0" percent="0" rank="0" text="" dxfId="1">
      <formula>NOT(OR(LEFT(C28,6)="Uyumlu",LEFT(C28,5)="Tamam",LEFT(C28,5)="Uygun",C28=""))</formula>
    </cfRule>
  </conditionalFormatting>
  <conditionalFormatting sqref="C29">
    <cfRule type="expression" priority="4" aboveAverage="0" equalAverage="0" bottom="0" percent="0" rank="0" text="" dxfId="0">
      <formula>OR(LEFT(C29,6)="Uyumlu",LEFT(C29,5)="Tamam",LEFT(C29,5)="Uygun")</formula>
    </cfRule>
    <cfRule type="expression" priority="5" aboveAverage="0" equalAverage="0" bottom="0" percent="0" rank="0" text="" dxfId="1">
      <formula>NOT(OR(LEFT(C29,6)="Uyumlu",LEFT(C29,5)="Tamam",LEFT(C29,5)="Uygun",C29=""))</formula>
    </cfRule>
  </conditionalFormatting>
  <conditionalFormatting sqref="C30">
    <cfRule type="expression" priority="6" aboveAverage="0" equalAverage="0" bottom="0" percent="0" rank="0" text="" dxfId="0">
      <formula>OR(LEFT(C30,6)="Uyumlu",LEFT(C30,5)="Tamam",LEFT(C30,5)="Uygun")</formula>
    </cfRule>
    <cfRule type="expression" priority="7" aboveAverage="0" equalAverage="0" bottom="0" percent="0" rank="0" text="" dxfId="1">
      <formula>NOT(OR(LEFT(C30,6)="Uyumlu",LEFT(C30,5)="Tamam",LEFT(C30,5)="Uygun",C30=""))</formula>
    </cfRule>
  </conditionalFormatting>
  <conditionalFormatting sqref="C31">
    <cfRule type="expression" priority="8" aboveAverage="0" equalAverage="0" bottom="0" percent="0" rank="0" text="" dxfId="0">
      <formula>OR(LEFT(C31,6)="Uyumlu",LEFT(C31,5)="Tamam",LEFT(C31,5)="Uygun")</formula>
    </cfRule>
    <cfRule type="expression" priority="9" aboveAverage="0" equalAverage="0" bottom="0" percent="0" rank="0" text="" dxfId="1">
      <formula>NOT(OR(LEFT(C31,6)="Uyumlu",LEFT(C31,5)="Tamam",LEFT(C31,5)="Uygun",C31=""))</formula>
    </cfRule>
  </conditionalFormatting>
  <conditionalFormatting sqref="C32">
    <cfRule type="expression" priority="10" aboveAverage="0" equalAverage="0" bottom="0" percent="0" rank="0" text="" dxfId="0">
      <formula>OR(LEFT(C32,6)="Uyumlu",LEFT(C32,5)="Tamam",LEFT(C32,5)="Uygun")</formula>
    </cfRule>
    <cfRule type="expression" priority="11" aboveAverage="0" equalAverage="0" bottom="0" percent="0" rank="0" text="" dxfId="1">
      <formula>NOT(OR(LEFT(C32,6)="Uyumlu",LEFT(C32,5)="Tamam",LEFT(C32,5)="Uygun",C32=""))</formula>
    </cfRule>
  </conditionalFormatting>
  <conditionalFormatting sqref="C33">
    <cfRule type="expression" priority="12" aboveAverage="0" equalAverage="0" bottom="0" percent="0" rank="0" text="" dxfId="0">
      <formula>OR(LEFT(C33,6)="Uyumlu",LEFT(C33,5)="Tamam",LEFT(C33,5)="Uygun")</formula>
    </cfRule>
    <cfRule type="expression" priority="13" aboveAverage="0" equalAverage="0" bottom="0" percent="0" rank="0" text="" dxfId="1">
      <formula>NOT(OR(LEFT(C33,6)="Uyumlu",LEFT(C33,5)="Tamam",LEFT(C33,5)="Uygun",C33=""))</formula>
    </cfRule>
  </conditionalFormatting>
  <conditionalFormatting sqref="C34">
    <cfRule type="expression" priority="14" aboveAverage="0" equalAverage="0" bottom="0" percent="0" rank="0" text="" dxfId="0">
      <formula>OR(LEFT(C34,6)="Uyumlu",LEFT(C34,5)="Tamam",LEFT(C34,5)="Uygun")</formula>
    </cfRule>
    <cfRule type="expression" priority="15" aboveAverage="0" equalAverage="0" bottom="0" percent="0" rank="0" text="" dxfId="1">
      <formula>NOT(OR(LEFT(C34,6)="Uyumlu",LEFT(C34,5)="Tamam",LEFT(C34,5)="Uygun",C34=""))</formula>
    </cfRule>
  </conditionalFormatting>
  <conditionalFormatting sqref="C35">
    <cfRule type="expression" priority="16" aboveAverage="0" equalAverage="0" bottom="0" percent="0" rank="0" text="" dxfId="0">
      <formula>OR(LEFT(C35,6)="Uyumlu",LEFT(C35,5)="Tamam",LEFT(C35,5)="Uygun")</formula>
    </cfRule>
    <cfRule type="expression" priority="17" aboveAverage="0" equalAverage="0" bottom="0" percent="0" rank="0" text="" dxfId="1">
      <formula>NOT(OR(LEFT(C35,6)="Uyumlu",LEFT(C35,5)="Tamam",LEFT(C35,5)="Uygun",C35=""))</formula>
    </cfRule>
  </conditionalFormatting>
  <hyperlinks>
    <hyperlink ref="D5" r:id="rId1" location="'Parametreler'!A1" display="Tabloya git →"/>
    <hyperlink ref="D6" r:id="rId2" location="'Ek-1'!A1" display="Tabloya git →"/>
    <hyperlink ref="D7" r:id="rId3" location="'Ek-2'!A1" display="Tabloya git →"/>
    <hyperlink ref="D8" r:id="rId4" location="'Ek-3'!A1" display="Tabloya git →"/>
    <hyperlink ref="D9" r:id="rId5" location="'Ek-4'!A1" display="Tabloya git →"/>
    <hyperlink ref="D10" r:id="rId6" location="'Ek-5'!A1" display="Tabloya git →"/>
    <hyperlink ref="D11" r:id="rId7" location="'Ek-6'!A1" display="Tabloya git →"/>
    <hyperlink ref="D12" r:id="rId8" location="'Ek-7'!A1" display="Tabloya git →"/>
    <hyperlink ref="D13" r:id="rId9" location="'Ek-8'!A1" display="Tabloya git →"/>
    <hyperlink ref="D14" r:id="rId10" location="'Ek-9'!A1" display="Tabloya git →"/>
    <hyperlink ref="D15" r:id="rId11" location="'Ek-10'!A1" display="Tabloya git →"/>
    <hyperlink ref="D16" r:id="rId12" location="'Ek-11'!A1" display="Tabloya git →"/>
    <hyperlink ref="D17" r:id="rId13" location="'Ek-12'!A1" display="Tabloya git →"/>
    <hyperlink ref="D18" r:id="rId14" location="'Ek-13'!A1" display="Tabloya git →"/>
    <hyperlink ref="D19" r:id="rId15" location="'Ek-14'!A1" display="Tabloya git →"/>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2" min="2" style="1" width="4"/>
    <col collapsed="false" customWidth="true" hidden="false" outlineLevel="0" max="3" min="3" style="1" width="18"/>
    <col collapsed="false" customWidth="true" hidden="false" outlineLevel="0" max="4" min="4" style="1" width="20"/>
    <col collapsed="false" customWidth="true" hidden="false" outlineLevel="0" max="5" min="5" style="1" width="44"/>
  </cols>
  <sheetData>
    <row r="1" customFormat="false" ht="17.25" hidden="false" customHeight="true" outlineLevel="0" collapsed="false">
      <c r="A1" s="18" t="s">
        <v>71</v>
      </c>
    </row>
    <row r="2" customFormat="false" ht="15" hidden="false" customHeight="true" outlineLevel="0" collapsed="false">
      <c r="A2" s="19" t="s">
        <v>72</v>
      </c>
    </row>
    <row r="3" customFormat="false" ht="15" hidden="false" customHeight="true" outlineLevel="0" collapsed="false">
      <c r="A3" s="20" t="s">
        <v>73</v>
      </c>
    </row>
    <row r="5" customFormat="false" ht="15" hidden="false" customHeight="true" outlineLevel="0" collapsed="false">
      <c r="A5" s="8" t="s">
        <v>74</v>
      </c>
      <c r="B5" s="9"/>
      <c r="C5" s="9"/>
      <c r="D5" s="9"/>
      <c r="E5" s="9"/>
    </row>
    <row r="6" customFormat="false" ht="15" hidden="false" customHeight="true" outlineLevel="0" collapsed="false">
      <c r="A6" s="6" t="s">
        <v>75</v>
      </c>
      <c r="B6" s="6"/>
      <c r="C6" s="6"/>
      <c r="D6" s="21" t="n">
        <v>2026</v>
      </c>
    </row>
    <row r="7" customFormat="false" ht="15" hidden="false" customHeight="true" outlineLevel="0" collapsed="false">
      <c r="A7" s="6" t="s">
        <v>76</v>
      </c>
      <c r="B7" s="6"/>
      <c r="C7" s="6"/>
      <c r="D7" s="22" t="str">
        <f aca="false">IF('Ek-1'!C13="Kurumlar vergisi","KV","GV")</f>
        <v>KV</v>
      </c>
    </row>
    <row r="8" customFormat="false" ht="15" hidden="false" customHeight="true" outlineLevel="0" collapsed="false">
      <c r="A8" s="6" t="s">
        <v>77</v>
      </c>
      <c r="B8" s="6"/>
      <c r="C8" s="6"/>
      <c r="D8" s="23" t="n">
        <v>0.25</v>
      </c>
      <c r="E8" s="24" t="s">
        <v>78</v>
      </c>
    </row>
    <row r="9" customFormat="false" ht="15" hidden="false" customHeight="true" outlineLevel="0" collapsed="false">
      <c r="A9" s="6" t="s">
        <v>79</v>
      </c>
      <c r="B9" s="6"/>
      <c r="C9" s="6"/>
      <c r="D9" s="23" t="n">
        <v>0.1</v>
      </c>
      <c r="E9" s="24" t="s">
        <v>80</v>
      </c>
    </row>
    <row r="10" customFormat="false" ht="15" hidden="false" customHeight="true" outlineLevel="0" collapsed="false">
      <c r="A10" s="6" t="s">
        <v>81</v>
      </c>
      <c r="B10" s="6"/>
      <c r="C10" s="6"/>
      <c r="D10" s="25" t="n">
        <f aca="false">'Ek-1'!C10</f>
        <v>42019</v>
      </c>
    </row>
    <row r="11" customFormat="false" ht="15" hidden="false" customHeight="true" outlineLevel="0" collapsed="false">
      <c r="A11" s="6" t="s">
        <v>82</v>
      </c>
      <c r="B11" s="6"/>
      <c r="C11" s="6"/>
      <c r="D11" s="22" t="str">
        <f aca="false">IF(D10="","",IF(YEAR(D10)&gt;=D6-2,"Evet","Hayır"))</f>
        <v>Hayır</v>
      </c>
      <c r="E11" s="24" t="s">
        <v>83</v>
      </c>
    </row>
    <row r="12" customFormat="false" ht="15" hidden="false" customHeight="true" outlineLevel="0" collapsed="false">
      <c r="A12" s="6" t="s">
        <v>84</v>
      </c>
      <c r="B12" s="6"/>
      <c r="C12" s="6"/>
      <c r="D12" s="25" t="n">
        <f aca="false">IF(D7="KV",DATE(D6+1,4,30),DATE(D6+1,3,31))</f>
        <v>46507</v>
      </c>
      <c r="E12" s="24" t="s">
        <v>85</v>
      </c>
    </row>
    <row r="13" customFormat="false" ht="15" hidden="false" customHeight="true" outlineLevel="0" collapsed="false">
      <c r="A13" s="6" t="s">
        <v>86</v>
      </c>
      <c r="B13" s="6"/>
      <c r="C13" s="6"/>
      <c r="D13" s="25" t="n">
        <f aca="false">EOMONTH(D12,2)</f>
        <v>46568</v>
      </c>
      <c r="E13" s="24" t="s">
        <v>87</v>
      </c>
    </row>
    <row r="15" customFormat="false" ht="15" hidden="false" customHeight="true" outlineLevel="0" collapsed="false">
      <c r="A15" s="8" t="s">
        <v>88</v>
      </c>
      <c r="B15" s="9"/>
      <c r="C15" s="9"/>
      <c r="D15" s="9"/>
      <c r="E15" s="9"/>
    </row>
    <row r="16" customFormat="false" ht="15" hidden="false" customHeight="true" outlineLevel="0" collapsed="false">
      <c r="A16" s="6" t="s">
        <v>89</v>
      </c>
      <c r="B16" s="6"/>
      <c r="C16" s="6"/>
      <c r="D16" s="23" t="n">
        <v>0</v>
      </c>
      <c r="E16" s="24" t="s">
        <v>90</v>
      </c>
    </row>
    <row r="17" customFormat="false" ht="42" hidden="false" customHeight="true" outlineLevel="0" collapsed="false">
      <c r="A17" s="4" t="s">
        <v>91</v>
      </c>
      <c r="B17" s="4"/>
      <c r="C17" s="4" t="s">
        <v>92</v>
      </c>
      <c r="D17" s="4" t="s">
        <v>93</v>
      </c>
      <c r="E17" s="4" t="s">
        <v>94</v>
      </c>
    </row>
    <row r="18" customFormat="false" ht="15" hidden="false" customHeight="true" outlineLevel="0" collapsed="false">
      <c r="A18" s="6" t="s">
        <v>95</v>
      </c>
      <c r="B18" s="6"/>
      <c r="C18" s="26" t="n">
        <v>500000</v>
      </c>
      <c r="D18" s="27" t="n">
        <f aca="false">IF(N($D$16)&gt;0,FLOOR(C18*(1+$D$16/2),10000),C18)</f>
        <v>500000</v>
      </c>
      <c r="E18" s="6" t="s">
        <v>96</v>
      </c>
    </row>
    <row r="19" customFormat="false" ht="15" hidden="false" customHeight="true" outlineLevel="0" collapsed="false">
      <c r="A19" s="6" t="s">
        <v>97</v>
      </c>
      <c r="B19" s="6"/>
      <c r="C19" s="26" t="n">
        <v>1000000</v>
      </c>
      <c r="D19" s="27" t="n">
        <f aca="false">IF(N($D$16)&gt;0,FLOOR(C19*(1+$D$16/2),10000),C19)</f>
        <v>1000000</v>
      </c>
      <c r="E19" s="6" t="s">
        <v>98</v>
      </c>
    </row>
    <row r="20" customFormat="false" ht="15" hidden="false" customHeight="true" outlineLevel="0" collapsed="false">
      <c r="A20" s="6" t="s">
        <v>99</v>
      </c>
      <c r="B20" s="6"/>
      <c r="C20" s="26" t="n">
        <v>200000</v>
      </c>
      <c r="D20" s="27" t="n">
        <f aca="false">IF(N($D$16)&gt;0,FLOOR(C20*(1+$D$16/2),10000),C20)</f>
        <v>200000</v>
      </c>
      <c r="E20" s="6" t="s">
        <v>100</v>
      </c>
    </row>
    <row r="21" customFormat="false" ht="54" hidden="false" customHeight="true" outlineLevel="0" collapsed="false">
      <c r="A21" s="17" t="s">
        <v>101</v>
      </c>
      <c r="B21" s="17"/>
      <c r="C21" s="17"/>
      <c r="D21" s="17"/>
      <c r="E21" s="17"/>
    </row>
    <row r="23" customFormat="false" ht="15" hidden="false" customHeight="true" outlineLevel="0" collapsed="false">
      <c r="A23" s="8" t="s">
        <v>102</v>
      </c>
      <c r="B23" s="9"/>
      <c r="C23" s="9"/>
      <c r="D23" s="9"/>
      <c r="E23" s="9"/>
    </row>
    <row r="24" customFormat="false" ht="27" hidden="false" customHeight="true" outlineLevel="0" collapsed="false">
      <c r="A24" s="6" t="s">
        <v>103</v>
      </c>
      <c r="B24" s="6"/>
      <c r="C24" s="6"/>
      <c r="D24" s="26" t="n">
        <v>5000000</v>
      </c>
      <c r="E24" s="6" t="s">
        <v>104</v>
      </c>
    </row>
    <row r="25" customFormat="false" ht="27" hidden="false" customHeight="true" outlineLevel="0" collapsed="false">
      <c r="A25" s="6" t="s">
        <v>105</v>
      </c>
      <c r="B25" s="6"/>
      <c r="C25" s="6"/>
      <c r="D25" s="23" t="n">
        <v>0.03</v>
      </c>
      <c r="E25" s="6" t="s">
        <v>106</v>
      </c>
    </row>
    <row r="26" customFormat="false" ht="27" hidden="false" customHeight="true" outlineLevel="0" collapsed="false">
      <c r="A26" s="6" t="s">
        <v>107</v>
      </c>
      <c r="B26" s="6"/>
      <c r="C26" s="6"/>
      <c r="D26" s="26" t="n">
        <v>100000000</v>
      </c>
      <c r="E26" s="6" t="s">
        <v>108</v>
      </c>
    </row>
    <row r="27" customFormat="false" ht="27" hidden="false" customHeight="true" outlineLevel="0" collapsed="false">
      <c r="A27" s="6" t="s">
        <v>109</v>
      </c>
      <c r="B27" s="6"/>
      <c r="C27" s="6"/>
      <c r="D27" s="23" t="n">
        <v>0.2</v>
      </c>
      <c r="E27" s="6" t="s">
        <v>110</v>
      </c>
    </row>
    <row r="28" customFormat="false" ht="27" hidden="false" customHeight="true" outlineLevel="0" collapsed="false">
      <c r="A28" s="6" t="s">
        <v>111</v>
      </c>
      <c r="B28" s="6"/>
      <c r="C28" s="6"/>
      <c r="D28" s="23" t="n">
        <v>0.2549</v>
      </c>
      <c r="E28" s="6" t="s">
        <v>112</v>
      </c>
    </row>
    <row r="29" customFormat="false" ht="27" hidden="false" customHeight="true" outlineLevel="0" collapsed="false">
      <c r="A29" s="6" t="s">
        <v>113</v>
      </c>
      <c r="B29" s="6"/>
      <c r="C29" s="6"/>
      <c r="D29" s="23" t="n">
        <v>0.4534</v>
      </c>
      <c r="E29" s="6" t="s">
        <v>114</v>
      </c>
    </row>
    <row r="30" customFormat="false" ht="27" hidden="false" customHeight="true" outlineLevel="0" collapsed="false">
      <c r="A30" s="6" t="s">
        <v>115</v>
      </c>
      <c r="B30" s="6"/>
      <c r="C30" s="6"/>
      <c r="D30" s="23" t="n">
        <v>1</v>
      </c>
      <c r="E30" s="6" t="s">
        <v>116</v>
      </c>
    </row>
    <row r="31" customFormat="false" ht="27" hidden="false" customHeight="true" outlineLevel="0" collapsed="false">
      <c r="A31" s="6" t="s">
        <v>117</v>
      </c>
      <c r="B31" s="6"/>
      <c r="C31" s="6"/>
      <c r="D31" s="23" t="n">
        <v>0.5</v>
      </c>
      <c r="E31" s="6" t="s">
        <v>118</v>
      </c>
    </row>
    <row r="32" customFormat="false" ht="27" hidden="false" customHeight="true" outlineLevel="0" collapsed="false">
      <c r="A32" s="6" t="s">
        <v>119</v>
      </c>
      <c r="B32" s="6"/>
      <c r="C32" s="6"/>
      <c r="D32" s="23" t="n">
        <v>0.75</v>
      </c>
      <c r="E32" s="6" t="s">
        <v>120</v>
      </c>
    </row>
    <row r="33" customFormat="false" ht="27" hidden="false" customHeight="true" outlineLevel="0" collapsed="false">
      <c r="A33" s="6" t="s">
        <v>121</v>
      </c>
      <c r="B33" s="6"/>
      <c r="C33" s="6"/>
      <c r="D33" s="23" t="n">
        <v>0.25</v>
      </c>
      <c r="E33" s="6" t="s">
        <v>122</v>
      </c>
    </row>
    <row r="34" customFormat="false" ht="27" hidden="false" customHeight="true" outlineLevel="0" collapsed="false">
      <c r="A34" s="6" t="s">
        <v>123</v>
      </c>
      <c r="B34" s="6"/>
      <c r="C34" s="6"/>
      <c r="D34" s="23" t="n">
        <v>0.8</v>
      </c>
      <c r="E34" s="6" t="s">
        <v>124</v>
      </c>
    </row>
    <row r="35" customFormat="false" ht="27" hidden="false" customHeight="true" outlineLevel="0" collapsed="false">
      <c r="A35" s="6" t="s">
        <v>125</v>
      </c>
      <c r="B35" s="6"/>
      <c r="C35" s="6"/>
      <c r="D35" s="23" t="n">
        <v>0.2</v>
      </c>
      <c r="E35" s="6" t="s">
        <v>124</v>
      </c>
    </row>
    <row r="36" customFormat="false" ht="27" hidden="false" customHeight="true" outlineLevel="0" collapsed="false">
      <c r="A36" s="6" t="s">
        <v>126</v>
      </c>
      <c r="B36" s="6"/>
      <c r="C36" s="6"/>
      <c r="D36" s="23" t="n">
        <v>0.1</v>
      </c>
      <c r="E36" s="6" t="s">
        <v>127</v>
      </c>
    </row>
    <row r="37" customFormat="false" ht="27" hidden="false" customHeight="true" outlineLevel="0" collapsed="false">
      <c r="A37" s="6" t="s">
        <v>128</v>
      </c>
      <c r="B37" s="6"/>
      <c r="C37" s="6"/>
      <c r="D37" s="23" t="n">
        <v>0.15</v>
      </c>
      <c r="E37" s="6" t="s">
        <v>129</v>
      </c>
    </row>
    <row r="38" customFormat="false" ht="27" hidden="false" customHeight="true" outlineLevel="0" collapsed="false">
      <c r="A38" s="6" t="s">
        <v>130</v>
      </c>
      <c r="B38" s="6"/>
      <c r="C38" s="6"/>
      <c r="D38" s="23" t="n">
        <v>0.05</v>
      </c>
      <c r="E38" s="6" t="s">
        <v>131</v>
      </c>
    </row>
    <row r="39" customFormat="false" ht="27" hidden="false" customHeight="true" outlineLevel="0" collapsed="false">
      <c r="A39" s="6" t="s">
        <v>132</v>
      </c>
      <c r="B39" s="6"/>
      <c r="C39" s="6"/>
      <c r="D39" s="23" t="n">
        <v>0.5</v>
      </c>
      <c r="E39" s="6" t="s">
        <v>133</v>
      </c>
    </row>
    <row r="40" customFormat="false" ht="27" hidden="false" customHeight="true" outlineLevel="0" collapsed="false">
      <c r="A40" s="6" t="s">
        <v>134</v>
      </c>
      <c r="B40" s="6"/>
      <c r="C40" s="6"/>
      <c r="D40" s="23" t="n">
        <v>0.05</v>
      </c>
      <c r="E40" s="6" t="s">
        <v>135</v>
      </c>
    </row>
    <row r="41" customFormat="false" ht="27" hidden="false" customHeight="true" outlineLevel="0" collapsed="false">
      <c r="A41" s="6" t="s">
        <v>136</v>
      </c>
      <c r="B41" s="6"/>
      <c r="C41" s="6"/>
      <c r="D41" s="23" t="n">
        <v>0.01</v>
      </c>
      <c r="E41" s="6" t="s">
        <v>137</v>
      </c>
    </row>
  </sheetData>
  <mergeCells count="31">
    <mergeCell ref="A6:C6"/>
    <mergeCell ref="A7:C7"/>
    <mergeCell ref="A8:C8"/>
    <mergeCell ref="A9:C9"/>
    <mergeCell ref="A10:C10"/>
    <mergeCell ref="A11:C11"/>
    <mergeCell ref="A12:C12"/>
    <mergeCell ref="A13:C13"/>
    <mergeCell ref="A16:C16"/>
    <mergeCell ref="A18:B18"/>
    <mergeCell ref="A19:B19"/>
    <mergeCell ref="A20:B20"/>
    <mergeCell ref="A21:E21"/>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1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2" min="2" style="1" width="22"/>
    <col collapsed="false" customWidth="true" hidden="false" outlineLevel="0" max="3" min="3" style="1" width="26"/>
    <col collapsed="false" customWidth="true" hidden="false" outlineLevel="0" max="4" min="4" style="1" width="18"/>
    <col collapsed="false" customWidth="true" hidden="false" outlineLevel="0" max="6" min="5" style="1" width="16"/>
    <col collapsed="false" customWidth="true" hidden="false" outlineLevel="0" max="7" min="7" style="1" width="18"/>
  </cols>
  <sheetData>
    <row r="1" customFormat="false" ht="17.25" hidden="false" customHeight="true" outlineLevel="0" collapsed="false">
      <c r="A1" s="18" t="s">
        <v>138</v>
      </c>
    </row>
    <row r="2" customFormat="false" ht="15" hidden="false" customHeight="true" outlineLevel="0" collapsed="false">
      <c r="A2" s="19" t="s">
        <v>139</v>
      </c>
    </row>
    <row r="3" customFormat="false" ht="15" hidden="false" customHeight="true" outlineLevel="0" collapsed="false">
      <c r="A3" s="20" t="s">
        <v>73</v>
      </c>
    </row>
    <row r="5" customFormat="false" ht="15" hidden="false" customHeight="true" outlineLevel="0" collapsed="false">
      <c r="A5" s="8" t="s">
        <v>140</v>
      </c>
      <c r="B5" s="9"/>
      <c r="C5" s="9"/>
      <c r="D5" s="9"/>
      <c r="E5" s="9"/>
      <c r="F5" s="9"/>
      <c r="G5" s="9"/>
    </row>
    <row r="6" customFormat="false" ht="15" hidden="false" customHeight="true" outlineLevel="0" collapsed="false">
      <c r="A6" s="6" t="s">
        <v>141</v>
      </c>
      <c r="B6" s="6"/>
      <c r="C6" s="28" t="s">
        <v>142</v>
      </c>
      <c r="D6" s="28"/>
      <c r="E6" s="28"/>
      <c r="F6" s="28"/>
    </row>
    <row r="7" customFormat="false" ht="15" hidden="false" customHeight="true" outlineLevel="0" collapsed="false">
      <c r="A7" s="6" t="s">
        <v>143</v>
      </c>
      <c r="B7" s="6"/>
      <c r="C7" s="28" t="s">
        <v>144</v>
      </c>
      <c r="D7" s="28"/>
      <c r="E7" s="28"/>
      <c r="F7" s="28"/>
    </row>
    <row r="8" customFormat="false" ht="15" hidden="false" customHeight="true" outlineLevel="0" collapsed="false">
      <c r="A8" s="6" t="s">
        <v>145</v>
      </c>
      <c r="B8" s="6"/>
      <c r="C8" s="28" t="s">
        <v>146</v>
      </c>
      <c r="D8" s="28"/>
      <c r="E8" s="28"/>
      <c r="F8" s="28"/>
    </row>
    <row r="9" customFormat="false" ht="15" hidden="false" customHeight="true" outlineLevel="0" collapsed="false">
      <c r="A9" s="6" t="s">
        <v>147</v>
      </c>
      <c r="B9" s="6"/>
      <c r="C9" s="28" t="s">
        <v>148</v>
      </c>
      <c r="D9" s="28"/>
      <c r="E9" s="28"/>
      <c r="F9" s="28"/>
    </row>
    <row r="10" customFormat="false" ht="15" hidden="false" customHeight="true" outlineLevel="0" collapsed="false">
      <c r="A10" s="6" t="s">
        <v>149</v>
      </c>
      <c r="B10" s="6"/>
      <c r="C10" s="29" t="n">
        <v>42019</v>
      </c>
      <c r="D10" s="29"/>
      <c r="E10" s="29"/>
      <c r="F10" s="29"/>
    </row>
    <row r="11" customFormat="false" ht="15" hidden="false" customHeight="true" outlineLevel="0" collapsed="false">
      <c r="A11" s="6" t="s">
        <v>150</v>
      </c>
      <c r="B11" s="6"/>
      <c r="C11" s="28" t="s">
        <v>151</v>
      </c>
      <c r="D11" s="28"/>
      <c r="E11" s="28"/>
      <c r="F11" s="28"/>
    </row>
    <row r="12" customFormat="false" ht="15" hidden="false" customHeight="true" outlineLevel="0" collapsed="false">
      <c r="A12" s="6" t="s">
        <v>152</v>
      </c>
      <c r="B12" s="6"/>
      <c r="C12" s="28" t="s">
        <v>153</v>
      </c>
      <c r="D12" s="28"/>
      <c r="E12" s="28"/>
      <c r="F12" s="28"/>
    </row>
    <row r="13" customFormat="false" ht="15" hidden="false" customHeight="true" outlineLevel="0" collapsed="false">
      <c r="A13" s="6" t="s">
        <v>154</v>
      </c>
      <c r="B13" s="6"/>
      <c r="C13" s="28" t="s">
        <v>155</v>
      </c>
      <c r="D13" s="28"/>
      <c r="E13" s="28"/>
      <c r="F13" s="28"/>
    </row>
    <row r="14" customFormat="false" ht="15" hidden="false" customHeight="true" outlineLevel="0" collapsed="false">
      <c r="A14" s="6" t="s">
        <v>156</v>
      </c>
      <c r="B14" s="6"/>
      <c r="C14" s="28" t="s">
        <v>157</v>
      </c>
      <c r="D14" s="28"/>
      <c r="E14" s="28"/>
      <c r="F14" s="28"/>
    </row>
    <row r="15" customFormat="false" ht="15" hidden="false" customHeight="true" outlineLevel="0" collapsed="false">
      <c r="A15" s="6" t="s">
        <v>158</v>
      </c>
      <c r="B15" s="6"/>
      <c r="C15" s="28" t="s">
        <v>159</v>
      </c>
      <c r="D15" s="28"/>
      <c r="E15" s="28"/>
      <c r="F15" s="28"/>
    </row>
    <row r="17" customFormat="false" ht="15" hidden="false" customHeight="true" outlineLevel="0" collapsed="false">
      <c r="A17" s="8" t="s">
        <v>160</v>
      </c>
      <c r="B17" s="9"/>
      <c r="C17" s="9"/>
      <c r="D17" s="9"/>
      <c r="E17" s="9"/>
      <c r="F17" s="9"/>
      <c r="G17" s="9"/>
    </row>
    <row r="18" customFormat="false" ht="42" hidden="false" customHeight="true" outlineLevel="0" collapsed="false">
      <c r="A18" s="4" t="s">
        <v>141</v>
      </c>
      <c r="B18" s="4" t="s">
        <v>161</v>
      </c>
      <c r="C18" s="4" t="s">
        <v>162</v>
      </c>
      <c r="D18" s="4" t="s">
        <v>163</v>
      </c>
      <c r="E18" s="4" t="s">
        <v>164</v>
      </c>
      <c r="F18" s="4" t="s">
        <v>165</v>
      </c>
      <c r="G18" s="4" t="s">
        <v>166</v>
      </c>
    </row>
    <row r="19" customFormat="false" ht="15" hidden="false" customHeight="true" outlineLevel="0" collapsed="false">
      <c r="A19" s="28" t="s">
        <v>167</v>
      </c>
      <c r="B19" s="28" t="s">
        <v>168</v>
      </c>
      <c r="C19" s="28" t="s">
        <v>169</v>
      </c>
      <c r="D19" s="26" t="n">
        <v>15000000</v>
      </c>
      <c r="E19" s="30" t="n">
        <f aca="false">IF(OR(D19="",$D$25=0),"",D19/$D$25)</f>
        <v>0.6</v>
      </c>
      <c r="F19" s="28" t="s">
        <v>170</v>
      </c>
      <c r="G19" s="28"/>
    </row>
    <row r="20" customFormat="false" ht="15" hidden="false" customHeight="true" outlineLevel="0" collapsed="false">
      <c r="A20" s="28" t="s">
        <v>171</v>
      </c>
      <c r="B20" s="28" t="s">
        <v>168</v>
      </c>
      <c r="C20" s="28" t="s">
        <v>169</v>
      </c>
      <c r="D20" s="26" t="n">
        <v>10000000</v>
      </c>
      <c r="E20" s="30" t="n">
        <f aca="false">IF(OR(D20="",$D$25=0),"",D20/$D$25)</f>
        <v>0.4</v>
      </c>
      <c r="F20" s="28" t="s">
        <v>172</v>
      </c>
      <c r="G20" s="28"/>
    </row>
    <row r="21" customFormat="false" ht="15" hidden="false" customHeight="true" outlineLevel="0" collapsed="false">
      <c r="A21" s="28"/>
      <c r="B21" s="28"/>
      <c r="C21" s="28"/>
      <c r="D21" s="26"/>
      <c r="E21" s="30" t="str">
        <f aca="false">IF(OR(D21="",$D$25=0),"",D21/$D$25)</f>
        <v/>
      </c>
      <c r="F21" s="28"/>
      <c r="G21" s="28"/>
    </row>
    <row r="22" customFormat="false" ht="15" hidden="false" customHeight="true" outlineLevel="0" collapsed="false">
      <c r="A22" s="28"/>
      <c r="B22" s="28"/>
      <c r="C22" s="28"/>
      <c r="D22" s="26"/>
      <c r="E22" s="30" t="str">
        <f aca="false">IF(OR(D22="",$D$25=0),"",D22/$D$25)</f>
        <v/>
      </c>
      <c r="F22" s="28"/>
      <c r="G22" s="28"/>
    </row>
    <row r="23" customFormat="false" ht="15" hidden="false" customHeight="true" outlineLevel="0" collapsed="false">
      <c r="A23" s="28"/>
      <c r="B23" s="28"/>
      <c r="C23" s="28"/>
      <c r="D23" s="26"/>
      <c r="E23" s="30" t="str">
        <f aca="false">IF(OR(D23="",$D$25=0),"",D23/$D$25)</f>
        <v/>
      </c>
      <c r="F23" s="28"/>
      <c r="G23" s="28"/>
    </row>
    <row r="24" customFormat="false" ht="15" hidden="false" customHeight="true" outlineLevel="0" collapsed="false">
      <c r="A24" s="28"/>
      <c r="B24" s="28"/>
      <c r="C24" s="28"/>
      <c r="D24" s="26"/>
      <c r="E24" s="30" t="str">
        <f aca="false">IF(OR(D24="",$D$25=0),"",D24/$D$25)</f>
        <v/>
      </c>
      <c r="F24" s="28"/>
      <c r="G24" s="28"/>
    </row>
    <row r="25" customFormat="false" ht="15" hidden="false" customHeight="true" outlineLevel="0" collapsed="false">
      <c r="C25" s="31" t="s">
        <v>173</v>
      </c>
      <c r="D25" s="27" t="n">
        <f aca="false">SUM(D19:D24)</f>
        <v>25000000</v>
      </c>
    </row>
    <row r="27" customFormat="false" ht="15" hidden="false" customHeight="true" outlineLevel="0" collapsed="false">
      <c r="A27" s="8" t="s">
        <v>174</v>
      </c>
      <c r="B27" s="9"/>
      <c r="C27" s="9"/>
      <c r="D27" s="9"/>
      <c r="E27" s="9"/>
      <c r="F27" s="9"/>
      <c r="G27" s="9"/>
    </row>
    <row r="28" customFormat="false" ht="42" hidden="false" customHeight="true" outlineLevel="0" collapsed="false">
      <c r="A28" s="4" t="s">
        <v>175</v>
      </c>
      <c r="B28" s="4" t="s">
        <v>162</v>
      </c>
      <c r="C28" s="4" t="s">
        <v>176</v>
      </c>
      <c r="D28" s="4" t="s">
        <v>177</v>
      </c>
      <c r="E28" s="4"/>
      <c r="F28" s="4"/>
      <c r="G28" s="4" t="s">
        <v>166</v>
      </c>
    </row>
    <row r="29" customFormat="false" ht="15" hidden="false" customHeight="true" outlineLevel="0" collapsed="false">
      <c r="A29" s="28" t="s">
        <v>178</v>
      </c>
      <c r="B29" s="28"/>
      <c r="C29" s="29"/>
      <c r="D29" s="28" t="s">
        <v>179</v>
      </c>
      <c r="G29" s="28"/>
    </row>
    <row r="30" customFormat="false" ht="15" hidden="false" customHeight="true" outlineLevel="0" collapsed="false">
      <c r="A30" s="28"/>
      <c r="B30" s="28"/>
      <c r="C30" s="29"/>
      <c r="D30" s="28"/>
      <c r="G30" s="28"/>
    </row>
    <row r="31" customFormat="false" ht="15" hidden="false" customHeight="true" outlineLevel="0" collapsed="false">
      <c r="A31" s="28"/>
      <c r="B31" s="28"/>
      <c r="C31" s="29"/>
      <c r="D31" s="28"/>
      <c r="G31" s="28"/>
    </row>
    <row r="32" customFormat="false" ht="15" hidden="false" customHeight="true" outlineLevel="0" collapsed="false">
      <c r="A32" s="28"/>
      <c r="B32" s="28"/>
      <c r="C32" s="29"/>
      <c r="D32" s="28"/>
      <c r="G32" s="28"/>
    </row>
    <row r="34" customFormat="false" ht="15" hidden="false" customHeight="true" outlineLevel="0" collapsed="false">
      <c r="A34" s="8" t="s">
        <v>180</v>
      </c>
      <c r="B34" s="9"/>
      <c r="C34" s="9"/>
      <c r="D34" s="9"/>
      <c r="E34" s="9"/>
      <c r="F34" s="9"/>
      <c r="G34" s="9"/>
    </row>
    <row r="35" customFormat="false" ht="42" hidden="false" customHeight="true" outlineLevel="0" collapsed="false">
      <c r="A35" s="4" t="s">
        <v>181</v>
      </c>
      <c r="B35" s="4" t="s">
        <v>182</v>
      </c>
      <c r="C35" s="4" t="s">
        <v>183</v>
      </c>
      <c r="D35" s="4"/>
      <c r="E35" s="4"/>
      <c r="F35" s="4"/>
      <c r="G35" s="4"/>
    </row>
    <row r="36" customFormat="false" ht="15" hidden="false" customHeight="true" outlineLevel="0" collapsed="false">
      <c r="A36" s="6" t="s">
        <v>184</v>
      </c>
      <c r="B36" s="21" t="n">
        <v>48</v>
      </c>
      <c r="C36" s="21" t="n">
        <v>22</v>
      </c>
    </row>
    <row r="37" customFormat="false" ht="15" hidden="false" customHeight="true" outlineLevel="0" collapsed="false">
      <c r="A37" s="6" t="s">
        <v>185</v>
      </c>
      <c r="B37" s="21"/>
      <c r="C37" s="21"/>
    </row>
    <row r="38" customFormat="false" ht="15" hidden="false" customHeight="true" outlineLevel="0" collapsed="false">
      <c r="A38" s="6" t="s">
        <v>186</v>
      </c>
      <c r="B38" s="21"/>
      <c r="C38" s="21"/>
    </row>
    <row r="39" customFormat="false" ht="15" hidden="false" customHeight="true" outlineLevel="0" collapsed="false">
      <c r="A39" s="6" t="s">
        <v>187</v>
      </c>
      <c r="B39" s="21"/>
      <c r="C39" s="21"/>
    </row>
    <row r="40" customFormat="false" ht="15" hidden="false" customHeight="true" outlineLevel="0" collapsed="false">
      <c r="A40" s="6" t="s">
        <v>188</v>
      </c>
      <c r="B40" s="21"/>
      <c r="C40" s="21"/>
    </row>
    <row r="41" customFormat="false" ht="15" hidden="false" customHeight="true" outlineLevel="0" collapsed="false">
      <c r="A41" s="6" t="s">
        <v>189</v>
      </c>
      <c r="B41" s="21"/>
      <c r="C41" s="21"/>
    </row>
    <row r="42" customFormat="false" ht="15" hidden="false" customHeight="true" outlineLevel="0" collapsed="false">
      <c r="A42" s="6" t="s">
        <v>190</v>
      </c>
      <c r="B42" s="21"/>
      <c r="C42" s="21"/>
    </row>
    <row r="43" customFormat="false" ht="15" hidden="false" customHeight="true" outlineLevel="0" collapsed="false">
      <c r="A43" s="6" t="s">
        <v>191</v>
      </c>
      <c r="B43" s="21"/>
      <c r="C43" s="21"/>
    </row>
    <row r="44" customFormat="false" ht="15" hidden="false" customHeight="true" outlineLevel="0" collapsed="false">
      <c r="A44" s="6" t="s">
        <v>192</v>
      </c>
      <c r="B44" s="21"/>
      <c r="C44" s="21"/>
    </row>
    <row r="45" customFormat="false" ht="15" hidden="false" customHeight="true" outlineLevel="0" collapsed="false">
      <c r="A45" s="6" t="s">
        <v>193</v>
      </c>
      <c r="B45" s="21"/>
      <c r="C45" s="21"/>
    </row>
    <row r="46" customFormat="false" ht="15" hidden="false" customHeight="true" outlineLevel="0" collapsed="false">
      <c r="A46" s="6" t="s">
        <v>194</v>
      </c>
      <c r="B46" s="21"/>
      <c r="C46" s="21"/>
    </row>
    <row r="47" customFormat="false" ht="15" hidden="false" customHeight="true" outlineLevel="0" collapsed="false">
      <c r="A47" s="6" t="s">
        <v>195</v>
      </c>
      <c r="B47" s="21"/>
      <c r="C47" s="21"/>
    </row>
    <row r="48" customFormat="false" ht="15" hidden="false" customHeight="true" outlineLevel="0" collapsed="false">
      <c r="A48" s="31" t="s">
        <v>196</v>
      </c>
      <c r="B48" s="32" t="n">
        <f aca="false">IFERROR(AVERAGE(B36:B47),0)</f>
        <v>48</v>
      </c>
      <c r="C48" s="32" t="n">
        <f aca="false">IFERROR(AVERAGE(C36:C47),0)</f>
        <v>22</v>
      </c>
    </row>
    <row r="50" customFormat="false" ht="15" hidden="false" customHeight="true" outlineLevel="0" collapsed="false">
      <c r="A50" s="8" t="s">
        <v>197</v>
      </c>
      <c r="B50" s="9"/>
      <c r="C50" s="9"/>
      <c r="D50" s="9"/>
      <c r="E50" s="9"/>
      <c r="F50" s="9"/>
      <c r="G50" s="9"/>
    </row>
    <row r="51" customFormat="false" ht="42" hidden="false" customHeight="true" outlineLevel="0" collapsed="false">
      <c r="A51" s="4" t="s">
        <v>198</v>
      </c>
      <c r="B51" s="4" t="s">
        <v>199</v>
      </c>
      <c r="C51" s="4" t="s">
        <v>200</v>
      </c>
      <c r="D51" s="4" t="s">
        <v>201</v>
      </c>
      <c r="E51" s="4" t="s">
        <v>202</v>
      </c>
      <c r="F51" s="4"/>
      <c r="G51" s="4" t="s">
        <v>166</v>
      </c>
    </row>
    <row r="52" customFormat="false" ht="15" hidden="false" customHeight="true" outlineLevel="0" collapsed="false">
      <c r="A52" s="6" t="s">
        <v>203</v>
      </c>
      <c r="B52" s="29" t="n">
        <v>45915</v>
      </c>
      <c r="C52" s="28"/>
      <c r="D52" s="29"/>
      <c r="E52" s="28"/>
      <c r="G52" s="28"/>
    </row>
    <row r="53" customFormat="false" ht="15" hidden="false" customHeight="true" outlineLevel="0" collapsed="false">
      <c r="A53" s="6" t="s">
        <v>204</v>
      </c>
      <c r="B53" s="29"/>
      <c r="C53" s="28"/>
      <c r="D53" s="29"/>
      <c r="E53" s="28"/>
      <c r="G53" s="28"/>
    </row>
    <row r="54" customFormat="false" ht="15" hidden="false" customHeight="true" outlineLevel="0" collapsed="false">
      <c r="A54" s="6" t="s">
        <v>205</v>
      </c>
      <c r="B54" s="29"/>
      <c r="C54" s="28"/>
      <c r="D54" s="29"/>
      <c r="E54" s="28"/>
      <c r="G54" s="28"/>
    </row>
    <row r="55" customFormat="false" ht="15" hidden="false" customHeight="true" outlineLevel="0" collapsed="false">
      <c r="A55" s="6" t="s">
        <v>206</v>
      </c>
      <c r="B55" s="29"/>
      <c r="C55" s="28"/>
      <c r="D55" s="29"/>
      <c r="E55" s="28"/>
      <c r="G55" s="28"/>
    </row>
    <row r="56" customFormat="false" ht="15" hidden="false" customHeight="true" outlineLevel="0" collapsed="false">
      <c r="A56" s="6" t="s">
        <v>207</v>
      </c>
      <c r="B56" s="29"/>
      <c r="C56" s="28"/>
      <c r="D56" s="29"/>
      <c r="E56" s="28"/>
      <c r="G56" s="28"/>
    </row>
    <row r="58" customFormat="false" ht="15" hidden="false" customHeight="true" outlineLevel="0" collapsed="false">
      <c r="A58" s="8" t="s">
        <v>208</v>
      </c>
      <c r="B58" s="9"/>
      <c r="C58" s="9"/>
      <c r="D58" s="9"/>
      <c r="E58" s="9"/>
      <c r="F58" s="9"/>
      <c r="G58" s="9"/>
    </row>
    <row r="59" customFormat="false" ht="42" hidden="false" customHeight="true" outlineLevel="0" collapsed="false">
      <c r="A59" s="4" t="s">
        <v>209</v>
      </c>
      <c r="B59" s="4" t="s">
        <v>210</v>
      </c>
      <c r="C59" s="4" t="s">
        <v>211</v>
      </c>
      <c r="D59" s="4" t="s">
        <v>212</v>
      </c>
      <c r="E59" s="4" t="s">
        <v>213</v>
      </c>
      <c r="F59" s="4"/>
      <c r="G59" s="4" t="s">
        <v>166</v>
      </c>
    </row>
    <row r="60" customFormat="false" ht="15" hidden="false" customHeight="true" outlineLevel="0" collapsed="false">
      <c r="A60" s="28" t="s">
        <v>214</v>
      </c>
      <c r="B60" s="28" t="s">
        <v>215</v>
      </c>
      <c r="C60" s="28" t="s">
        <v>216</v>
      </c>
      <c r="D60" s="29" t="n">
        <v>46173</v>
      </c>
      <c r="E60" s="28" t="s">
        <v>153</v>
      </c>
      <c r="G60" s="28"/>
    </row>
    <row r="61" customFormat="false" ht="15" hidden="false" customHeight="true" outlineLevel="0" collapsed="false">
      <c r="A61" s="28"/>
      <c r="B61" s="28"/>
      <c r="C61" s="28"/>
      <c r="D61" s="29"/>
      <c r="E61" s="28"/>
      <c r="G61" s="28"/>
    </row>
    <row r="62" customFormat="false" ht="15" hidden="false" customHeight="true" outlineLevel="0" collapsed="false">
      <c r="A62" s="28"/>
      <c r="B62" s="28"/>
      <c r="C62" s="28"/>
      <c r="D62" s="29"/>
      <c r="E62" s="28"/>
      <c r="G62" s="28"/>
    </row>
    <row r="63" customFormat="false" ht="15" hidden="false" customHeight="true" outlineLevel="0" collapsed="false">
      <c r="A63" s="28"/>
      <c r="B63" s="28"/>
      <c r="C63" s="28"/>
      <c r="D63" s="29"/>
      <c r="E63" s="28"/>
      <c r="G63" s="28"/>
    </row>
    <row r="64" customFormat="false" ht="15" hidden="false" customHeight="true" outlineLevel="0" collapsed="false">
      <c r="A64" s="28"/>
      <c r="B64" s="28"/>
      <c r="C64" s="28"/>
      <c r="D64" s="29"/>
      <c r="E64" s="28"/>
      <c r="G64" s="28"/>
    </row>
    <row r="65" customFormat="false" ht="15" hidden="false" customHeight="true" outlineLevel="0" collapsed="false">
      <c r="A65" s="28"/>
      <c r="B65" s="28"/>
      <c r="C65" s="28"/>
      <c r="D65" s="29"/>
      <c r="E65" s="28"/>
      <c r="G65" s="28"/>
    </row>
    <row r="66" customFormat="false" ht="15" hidden="false" customHeight="true" outlineLevel="0" collapsed="false">
      <c r="A66" s="28"/>
      <c r="B66" s="28"/>
      <c r="C66" s="28"/>
      <c r="D66" s="29"/>
      <c r="E66" s="28"/>
      <c r="G66" s="28"/>
    </row>
    <row r="67" customFormat="false" ht="15" hidden="false" customHeight="true" outlineLevel="0" collapsed="false">
      <c r="A67" s="28"/>
      <c r="B67" s="28"/>
      <c r="C67" s="28"/>
      <c r="D67" s="29"/>
      <c r="E67" s="28"/>
      <c r="G67" s="28"/>
    </row>
    <row r="68" customFormat="false" ht="15" hidden="false" customHeight="true" outlineLevel="0" collapsed="false">
      <c r="A68" s="28"/>
      <c r="B68" s="28"/>
      <c r="C68" s="28"/>
      <c r="D68" s="29"/>
      <c r="E68" s="28"/>
      <c r="G68" s="28"/>
    </row>
    <row r="69" customFormat="false" ht="15" hidden="false" customHeight="true" outlineLevel="0" collapsed="false">
      <c r="A69" s="28"/>
      <c r="B69" s="28"/>
      <c r="C69" s="28"/>
      <c r="D69" s="29"/>
      <c r="E69" s="28"/>
      <c r="G69" s="28"/>
    </row>
    <row r="70" customFormat="false" ht="15" hidden="false" customHeight="true" outlineLevel="0" collapsed="false">
      <c r="A70" s="28"/>
      <c r="B70" s="28"/>
      <c r="C70" s="28"/>
      <c r="D70" s="29"/>
      <c r="E70" s="28"/>
      <c r="G70" s="28"/>
    </row>
    <row r="71" customFormat="false" ht="15" hidden="false" customHeight="true" outlineLevel="0" collapsed="false">
      <c r="A71" s="28"/>
      <c r="B71" s="28"/>
      <c r="C71" s="28"/>
      <c r="D71" s="29"/>
      <c r="E71" s="28"/>
      <c r="G71" s="28"/>
    </row>
    <row r="72" customFormat="false" ht="15" hidden="false" customHeight="true" outlineLevel="0" collapsed="false">
      <c r="A72" s="6" t="s">
        <v>217</v>
      </c>
      <c r="B72" s="28"/>
    </row>
    <row r="74" customFormat="false" ht="15" hidden="false" customHeight="true" outlineLevel="0" collapsed="false">
      <c r="A74" s="8" t="s">
        <v>218</v>
      </c>
      <c r="B74" s="9"/>
      <c r="C74" s="9"/>
      <c r="D74" s="9"/>
      <c r="E74" s="9"/>
      <c r="F74" s="9"/>
      <c r="G74" s="9"/>
    </row>
    <row r="75" customFormat="false" ht="42" hidden="false" customHeight="true" outlineLevel="0" collapsed="false">
      <c r="A75" s="4" t="s">
        <v>219</v>
      </c>
      <c r="B75" s="4" t="s">
        <v>211</v>
      </c>
      <c r="C75" s="4" t="s">
        <v>220</v>
      </c>
      <c r="D75" s="4" t="s">
        <v>221</v>
      </c>
      <c r="E75" s="4" t="s">
        <v>222</v>
      </c>
      <c r="F75" s="4" t="s">
        <v>223</v>
      </c>
      <c r="G75" s="4" t="s">
        <v>166</v>
      </c>
    </row>
    <row r="76" customFormat="false" ht="15" hidden="false" customHeight="true" outlineLevel="0" collapsed="false">
      <c r="A76" s="6" t="s">
        <v>224</v>
      </c>
      <c r="B76" s="28" t="s">
        <v>225</v>
      </c>
      <c r="C76" s="29"/>
      <c r="D76" s="29"/>
      <c r="E76" s="22" t="str">
        <f aca="false">IF(OR(C76="",D76=""),"",IF(D76&lt;=C76,"Evet","Hayır"))</f>
        <v/>
      </c>
      <c r="F76" s="28"/>
      <c r="G76" s="28"/>
    </row>
    <row r="77" customFormat="false" ht="15" hidden="false" customHeight="true" outlineLevel="0" collapsed="false">
      <c r="A77" s="6" t="s">
        <v>226</v>
      </c>
      <c r="B77" s="28" t="s">
        <v>227</v>
      </c>
      <c r="C77" s="29" t="n">
        <v>46159</v>
      </c>
      <c r="D77" s="29" t="n">
        <v>46157</v>
      </c>
      <c r="E77" s="22" t="str">
        <f aca="false">IF(OR(C77="",D77=""),"",IF(D77&lt;=C77,"Evet","Hayır"))</f>
        <v>Evet</v>
      </c>
      <c r="F77" s="28"/>
      <c r="G77" s="28"/>
    </row>
    <row r="78" customFormat="false" ht="15" hidden="false" customHeight="true" outlineLevel="0" collapsed="false">
      <c r="A78" s="6" t="s">
        <v>226</v>
      </c>
      <c r="B78" s="28" t="s">
        <v>228</v>
      </c>
      <c r="C78" s="29"/>
      <c r="D78" s="29"/>
      <c r="E78" s="22" t="str">
        <f aca="false">IF(OR(C78="",D78=""),"",IF(D78&lt;=C78,"Evet","Hayır"))</f>
        <v/>
      </c>
      <c r="F78" s="28"/>
      <c r="G78" s="28"/>
    </row>
    <row r="79" customFormat="false" ht="15" hidden="false" customHeight="true" outlineLevel="0" collapsed="false">
      <c r="A79" s="6" t="s">
        <v>226</v>
      </c>
      <c r="B79" s="28" t="s">
        <v>229</v>
      </c>
      <c r="C79" s="29"/>
      <c r="D79" s="29"/>
      <c r="E79" s="22" t="str">
        <f aca="false">IF(OR(C79="",D79=""),"",IF(D79&lt;=C79,"Evet","Hayır"))</f>
        <v/>
      </c>
      <c r="F79" s="28"/>
      <c r="G79" s="28"/>
    </row>
    <row r="80" customFormat="false" ht="15" hidden="false" customHeight="true" outlineLevel="0" collapsed="false">
      <c r="A80" s="6" t="s">
        <v>230</v>
      </c>
      <c r="B80" s="28" t="s">
        <v>231</v>
      </c>
      <c r="C80" s="29"/>
      <c r="D80" s="29"/>
      <c r="E80" s="22" t="str">
        <f aca="false">IF(OR(C80="",D80=""),"",IF(D80&lt;=C80,"Evet","Hayır"))</f>
        <v/>
      </c>
      <c r="F80" s="28"/>
      <c r="G80" s="28"/>
    </row>
    <row r="81" customFormat="false" ht="23.25" hidden="false" customHeight="true" outlineLevel="0" collapsed="false">
      <c r="A81" s="6" t="s">
        <v>232</v>
      </c>
      <c r="B81" s="28" t="s">
        <v>231</v>
      </c>
      <c r="C81" s="29"/>
      <c r="D81" s="29"/>
      <c r="E81" s="22" t="str">
        <f aca="false">IF(OR(C81="",D81=""),"",IF(D81&lt;=C81,"Evet","Hayır"))</f>
        <v/>
      </c>
      <c r="F81" s="28"/>
      <c r="G81" s="28"/>
    </row>
    <row r="83" customFormat="false" ht="15" hidden="false" customHeight="true" outlineLevel="0" collapsed="false">
      <c r="A83" s="8" t="s">
        <v>233</v>
      </c>
      <c r="B83" s="9"/>
      <c r="C83" s="9"/>
      <c r="D83" s="9"/>
      <c r="E83" s="9"/>
      <c r="F83" s="9"/>
      <c r="G83" s="9"/>
    </row>
    <row r="84" customFormat="false" ht="42" hidden="false" customHeight="true" outlineLevel="0" collapsed="false">
      <c r="A84" s="4" t="s">
        <v>234</v>
      </c>
      <c r="B84" s="4" t="s">
        <v>235</v>
      </c>
      <c r="C84" s="4" t="s">
        <v>236</v>
      </c>
      <c r="D84" s="4" t="s">
        <v>237</v>
      </c>
      <c r="E84" s="4" t="s">
        <v>238</v>
      </c>
      <c r="F84" s="4"/>
      <c r="G84" s="4" t="s">
        <v>166</v>
      </c>
    </row>
    <row r="85" customFormat="false" ht="15" hidden="false" customHeight="true" outlineLevel="0" collapsed="false">
      <c r="A85" s="28" t="s">
        <v>239</v>
      </c>
      <c r="B85" s="28" t="s">
        <v>240</v>
      </c>
      <c r="C85" s="28"/>
      <c r="D85" s="28"/>
      <c r="E85" s="29"/>
      <c r="G85" s="28"/>
    </row>
    <row r="86" customFormat="false" ht="15" hidden="false" customHeight="true" outlineLevel="0" collapsed="false">
      <c r="A86" s="28"/>
      <c r="B86" s="28"/>
      <c r="C86" s="28"/>
      <c r="D86" s="28"/>
      <c r="E86" s="29"/>
      <c r="G86" s="28"/>
    </row>
    <row r="88" customFormat="false" ht="15" hidden="false" customHeight="true" outlineLevel="0" collapsed="false">
      <c r="A88" s="8" t="s">
        <v>241</v>
      </c>
      <c r="B88" s="9"/>
      <c r="C88" s="9"/>
      <c r="D88" s="9"/>
      <c r="E88" s="9"/>
      <c r="F88" s="9"/>
      <c r="G88" s="9"/>
    </row>
    <row r="89" customFormat="false" ht="42" hidden="false" customHeight="true" outlineLevel="0" collapsed="false">
      <c r="A89" s="4" t="s">
        <v>242</v>
      </c>
      <c r="B89" s="4" t="s">
        <v>243</v>
      </c>
      <c r="C89" s="4" t="s">
        <v>244</v>
      </c>
      <c r="D89" s="4" t="s">
        <v>245</v>
      </c>
      <c r="E89" s="4" t="s">
        <v>246</v>
      </c>
      <c r="F89" s="4" t="s">
        <v>247</v>
      </c>
      <c r="G89" s="4" t="s">
        <v>166</v>
      </c>
    </row>
    <row r="90" customFormat="false" ht="27.75" hidden="false" customHeight="true" outlineLevel="0" collapsed="false">
      <c r="A90" s="6" t="s">
        <v>248</v>
      </c>
      <c r="B90" s="6" t="s">
        <v>249</v>
      </c>
      <c r="C90" s="6" t="s">
        <v>250</v>
      </c>
      <c r="D90" s="29"/>
      <c r="E90" s="28" t="s">
        <v>251</v>
      </c>
      <c r="F90" s="22" t="str">
        <f aca="false">IF(E90="E","Tamam",IF(D90="","Talep edilmedi","Bekleniyor"))</f>
        <v>Tamam</v>
      </c>
      <c r="G90" s="28"/>
    </row>
    <row r="91" customFormat="false" ht="27.75" hidden="false" customHeight="true" outlineLevel="0" collapsed="false">
      <c r="A91" s="6" t="s">
        <v>252</v>
      </c>
      <c r="B91" s="6" t="s">
        <v>249</v>
      </c>
      <c r="C91" s="6" t="s">
        <v>253</v>
      </c>
      <c r="D91" s="29"/>
      <c r="E91" s="28"/>
      <c r="F91" s="22" t="str">
        <f aca="false">IF(E91="E","Tamam",IF(D91="","Talep edilmedi","Bekleniyor"))</f>
        <v>Talep edilmedi</v>
      </c>
      <c r="G91" s="28"/>
    </row>
    <row r="92" customFormat="false" ht="27.75" hidden="false" customHeight="true" outlineLevel="0" collapsed="false">
      <c r="A92" s="6" t="s">
        <v>254</v>
      </c>
      <c r="B92" s="6" t="s">
        <v>255</v>
      </c>
      <c r="C92" s="6" t="s">
        <v>256</v>
      </c>
      <c r="D92" s="29"/>
      <c r="E92" s="28"/>
      <c r="F92" s="22" t="str">
        <f aca="false">IF(E92="E","Tamam",IF(D92="","Talep edilmedi","Bekleniyor"))</f>
        <v>Talep edilmedi</v>
      </c>
      <c r="G92" s="28"/>
    </row>
    <row r="93" customFormat="false" ht="27.75" hidden="false" customHeight="true" outlineLevel="0" collapsed="false">
      <c r="A93" s="6" t="s">
        <v>257</v>
      </c>
      <c r="B93" s="6" t="s">
        <v>258</v>
      </c>
      <c r="C93" s="6" t="s">
        <v>253</v>
      </c>
      <c r="D93" s="29"/>
      <c r="E93" s="28"/>
      <c r="F93" s="22" t="str">
        <f aca="false">IF(E93="E","Tamam",IF(D93="","Talep edilmedi","Bekleniyor"))</f>
        <v>Talep edilmedi</v>
      </c>
      <c r="G93" s="28"/>
    </row>
    <row r="94" customFormat="false" ht="27.75" hidden="false" customHeight="true" outlineLevel="0" collapsed="false">
      <c r="A94" s="6" t="s">
        <v>259</v>
      </c>
      <c r="B94" s="6" t="s">
        <v>260</v>
      </c>
      <c r="C94" s="6" t="s">
        <v>253</v>
      </c>
      <c r="D94" s="29"/>
      <c r="E94" s="28"/>
      <c r="F94" s="22" t="str">
        <f aca="false">IF(E94="E","Tamam",IF(D94="","Talep edilmedi","Bekleniyor"))</f>
        <v>Talep edilmedi</v>
      </c>
      <c r="G94" s="28"/>
    </row>
    <row r="95" customFormat="false" ht="27.75" hidden="false" customHeight="true" outlineLevel="0" collapsed="false">
      <c r="A95" s="6" t="s">
        <v>261</v>
      </c>
      <c r="B95" s="6" t="s">
        <v>255</v>
      </c>
      <c r="C95" s="6" t="s">
        <v>253</v>
      </c>
      <c r="D95" s="29"/>
      <c r="E95" s="28"/>
      <c r="F95" s="22" t="str">
        <f aca="false">IF(E95="E","Tamam",IF(D95="","Talep edilmedi","Bekleniyor"))</f>
        <v>Talep edilmedi</v>
      </c>
      <c r="G95" s="28"/>
    </row>
    <row r="96" customFormat="false" ht="27.75" hidden="false" customHeight="true" outlineLevel="0" collapsed="false">
      <c r="A96" s="6" t="s">
        <v>262</v>
      </c>
      <c r="B96" s="6" t="s">
        <v>263</v>
      </c>
      <c r="C96" s="6" t="s">
        <v>264</v>
      </c>
      <c r="D96" s="29"/>
      <c r="E96" s="28"/>
      <c r="F96" s="22" t="str">
        <f aca="false">IF(E96="E","Tamam",IF(D96="","Talep edilmedi","Bekleniyor"))</f>
        <v>Talep edilmedi</v>
      </c>
      <c r="G96" s="28"/>
    </row>
    <row r="97" customFormat="false" ht="27.75" hidden="false" customHeight="true" outlineLevel="0" collapsed="false">
      <c r="A97" s="6" t="s">
        <v>265</v>
      </c>
      <c r="B97" s="6" t="s">
        <v>266</v>
      </c>
      <c r="C97" s="6" t="s">
        <v>264</v>
      </c>
      <c r="D97" s="29"/>
      <c r="E97" s="28"/>
      <c r="F97" s="22" t="str">
        <f aca="false">IF(E97="E","Tamam",IF(D97="","Talep edilmedi","Bekleniyor"))</f>
        <v>Talep edilmedi</v>
      </c>
      <c r="G97" s="28"/>
    </row>
    <row r="98" customFormat="false" ht="27.75" hidden="false" customHeight="true" outlineLevel="0" collapsed="false">
      <c r="A98" s="6" t="s">
        <v>267</v>
      </c>
      <c r="B98" s="6" t="s">
        <v>266</v>
      </c>
      <c r="C98" s="6" t="s">
        <v>264</v>
      </c>
      <c r="D98" s="29"/>
      <c r="E98" s="28"/>
      <c r="F98" s="22" t="str">
        <f aca="false">IF(E98="E","Tamam",IF(D98="","Talep edilmedi","Bekleniyor"))</f>
        <v>Talep edilmedi</v>
      </c>
      <c r="G98" s="28"/>
    </row>
    <row r="99" customFormat="false" ht="27.75" hidden="false" customHeight="true" outlineLevel="0" collapsed="false">
      <c r="A99" s="6" t="s">
        <v>268</v>
      </c>
      <c r="B99" s="6" t="s">
        <v>258</v>
      </c>
      <c r="C99" s="6" t="s">
        <v>264</v>
      </c>
      <c r="D99" s="29"/>
      <c r="E99" s="28"/>
      <c r="F99" s="22" t="str">
        <f aca="false">IF(E99="E","Tamam",IF(D99="","Talep edilmedi","Bekleniyor"))</f>
        <v>Talep edilmedi</v>
      </c>
      <c r="G99" s="28"/>
    </row>
    <row r="100" customFormat="false" ht="27.75" hidden="false" customHeight="true" outlineLevel="0" collapsed="false">
      <c r="A100" s="6" t="s">
        <v>269</v>
      </c>
      <c r="B100" s="6" t="s">
        <v>249</v>
      </c>
      <c r="C100" s="6" t="s">
        <v>264</v>
      </c>
      <c r="D100" s="29"/>
      <c r="E100" s="28"/>
      <c r="F100" s="22" t="str">
        <f aca="false">IF(E100="E","Tamam",IF(D100="","Talep edilmedi","Bekleniyor"))</f>
        <v>Talep edilmedi</v>
      </c>
      <c r="G100" s="28"/>
    </row>
    <row r="101" customFormat="false" ht="27.75" hidden="false" customHeight="true" outlineLevel="0" collapsed="false">
      <c r="A101" s="6" t="s">
        <v>270</v>
      </c>
      <c r="B101" s="6" t="s">
        <v>266</v>
      </c>
      <c r="C101" s="6" t="s">
        <v>264</v>
      </c>
      <c r="D101" s="29"/>
      <c r="E101" s="28"/>
      <c r="F101" s="22" t="str">
        <f aca="false">IF(E101="E","Tamam",IF(D101="","Talep edilmedi","Bekleniyor"))</f>
        <v>Talep edilmedi</v>
      </c>
      <c r="G101" s="28"/>
    </row>
    <row r="102" customFormat="false" ht="27.75" hidden="false" customHeight="true" outlineLevel="0" collapsed="false">
      <c r="A102" s="6" t="s">
        <v>271</v>
      </c>
      <c r="B102" s="6" t="s">
        <v>272</v>
      </c>
      <c r="C102" s="6" t="s">
        <v>264</v>
      </c>
      <c r="D102" s="29"/>
      <c r="E102" s="28"/>
      <c r="F102" s="22" t="str">
        <f aca="false">IF(E102="E","Tamam",IF(D102="","Talep edilmedi","Bekleniyor"))</f>
        <v>Talep edilmedi</v>
      </c>
      <c r="G102" s="28"/>
    </row>
    <row r="103" customFormat="false" ht="27.75" hidden="false" customHeight="true" outlineLevel="0" collapsed="false">
      <c r="A103" s="6" t="s">
        <v>273</v>
      </c>
      <c r="B103" s="6" t="s">
        <v>255</v>
      </c>
      <c r="C103" s="6" t="s">
        <v>264</v>
      </c>
      <c r="D103" s="29"/>
      <c r="E103" s="28"/>
      <c r="F103" s="22" t="str">
        <f aca="false">IF(E103="E","Tamam",IF(D103="","Talep edilmedi","Bekleniyor"))</f>
        <v>Talep edilmedi</v>
      </c>
      <c r="G103" s="28"/>
    </row>
    <row r="104" customFormat="false" ht="27.75" hidden="false" customHeight="true" outlineLevel="0" collapsed="false">
      <c r="A104" s="6" t="s">
        <v>274</v>
      </c>
      <c r="B104" s="6" t="s">
        <v>255</v>
      </c>
      <c r="C104" s="6" t="s">
        <v>253</v>
      </c>
      <c r="D104" s="29"/>
      <c r="E104" s="28"/>
      <c r="F104" s="22" t="str">
        <f aca="false">IF(E104="E","Tamam",IF(D104="","Talep edilmedi","Bekleniyor"))</f>
        <v>Talep edilmedi</v>
      </c>
      <c r="G104" s="28"/>
    </row>
    <row r="105" customFormat="false" ht="27.75" hidden="false" customHeight="true" outlineLevel="0" collapsed="false">
      <c r="A105" s="6" t="s">
        <v>275</v>
      </c>
      <c r="B105" s="6" t="s">
        <v>249</v>
      </c>
      <c r="C105" s="6" t="s">
        <v>253</v>
      </c>
      <c r="D105" s="29"/>
      <c r="E105" s="28"/>
      <c r="F105" s="22" t="str">
        <f aca="false">IF(E105="E","Tamam",IF(D105="","Talep edilmedi","Bekleniyor"))</f>
        <v>Talep edilmedi</v>
      </c>
      <c r="G105" s="28"/>
    </row>
    <row r="106" customFormat="false" ht="27.75" hidden="false" customHeight="true" outlineLevel="0" collapsed="false">
      <c r="A106" s="6" t="s">
        <v>276</v>
      </c>
      <c r="B106" s="6" t="s">
        <v>258</v>
      </c>
      <c r="C106" s="6" t="s">
        <v>264</v>
      </c>
      <c r="D106" s="29"/>
      <c r="E106" s="28"/>
      <c r="F106" s="22" t="str">
        <f aca="false">IF(E106="E","Tamam",IF(D106="","Talep edilmedi","Bekleniyor"))</f>
        <v>Talep edilmedi</v>
      </c>
      <c r="G106" s="28"/>
    </row>
    <row r="107" customFormat="false" ht="27.75" hidden="false" customHeight="true" outlineLevel="0" collapsed="false">
      <c r="A107" s="6" t="s">
        <v>277</v>
      </c>
      <c r="B107" s="6" t="s">
        <v>278</v>
      </c>
      <c r="C107" s="6" t="s">
        <v>279</v>
      </c>
      <c r="D107" s="29"/>
      <c r="E107" s="28"/>
      <c r="F107" s="22" t="str">
        <f aca="false">IF(E107="E","Tamam",IF(D107="","Talep edilmedi","Bekleniyor"))</f>
        <v>Talep edilmedi</v>
      </c>
      <c r="G107" s="28"/>
    </row>
    <row r="108" customFormat="false" ht="27.75" hidden="false" customHeight="true" outlineLevel="0" collapsed="false">
      <c r="A108" s="6" t="s">
        <v>280</v>
      </c>
      <c r="B108" s="6" t="s">
        <v>255</v>
      </c>
      <c r="C108" s="6" t="s">
        <v>264</v>
      </c>
      <c r="D108" s="29"/>
      <c r="E108" s="28"/>
      <c r="F108" s="22" t="str">
        <f aca="false">IF(E108="E","Tamam",IF(D108="","Talep edilmedi","Bekleniyor"))</f>
        <v>Talep edilmedi</v>
      </c>
      <c r="G108" s="28"/>
    </row>
    <row r="109" customFormat="false" ht="27.75" hidden="false" customHeight="true" outlineLevel="0" collapsed="false">
      <c r="A109" s="6" t="s">
        <v>281</v>
      </c>
      <c r="B109" s="6" t="s">
        <v>282</v>
      </c>
      <c r="C109" s="6" t="s">
        <v>283</v>
      </c>
      <c r="D109" s="29"/>
      <c r="E109" s="28"/>
      <c r="F109" s="22" t="str">
        <f aca="false">IF(E109="E","Tamam",IF(D109="","Talep edilmedi","Bekleniyor"))</f>
        <v>Talep edilmedi</v>
      </c>
      <c r="G109" s="28"/>
    </row>
    <row r="110" customFormat="false" ht="15" hidden="false" customHeight="true" outlineLevel="0" collapsed="false">
      <c r="A110" s="31" t="s">
        <v>284</v>
      </c>
      <c r="E110" s="12" t="str">
        <f aca="false">COUNTIF(E90:E109,"E")&amp;" / 20"</f>
        <v>1 / 20</v>
      </c>
    </row>
    <row r="111" customFormat="false" ht="30" hidden="false" customHeight="true" outlineLevel="0" collapsed="false">
      <c r="A111" s="17" t="s">
        <v>285</v>
      </c>
      <c r="B111" s="17"/>
      <c r="C111" s="17"/>
      <c r="D111" s="17"/>
      <c r="E111" s="17"/>
      <c r="F111" s="17"/>
      <c r="G111" s="17"/>
    </row>
  </sheetData>
  <mergeCells count="21">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11:G111"/>
  </mergeCells>
  <dataValidations count="2">
    <dataValidation allowBlank="true" errorStyle="stop" operator="between" showDropDown="false" showErrorMessage="false" showInputMessage="false" sqref="C13" type="list">
      <formula1>"Gelir vergisi – ticari kazanç,Gelir vergisi – serbest meslek kazancı,Kurumlar vergisi"</formula1>
      <formula2>0</formula2>
    </dataValidation>
    <dataValidation allowBlank="true" errorStyle="stop" operator="between" showDropDown="false" showErrorMessage="false" showInputMessage="false" sqref="E90:E109"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
    <col collapsed="false" customWidth="true" hidden="false" outlineLevel="0" max="2" min="2" style="1" width="40"/>
    <col collapsed="false" customWidth="true" hidden="false" outlineLevel="0" max="3" min="3" style="1" width="20"/>
    <col collapsed="false" customWidth="true" hidden="false" outlineLevel="0" max="4" min="4" style="1" width="26"/>
    <col collapsed="false" customWidth="true" hidden="false" outlineLevel="0" max="5" min="5" style="1" width="17"/>
    <col collapsed="false" customWidth="true" hidden="false" outlineLevel="0" max="6" min="6" style="1" width="13"/>
    <col collapsed="false" customWidth="true" hidden="false" outlineLevel="0" max="7" min="7" style="1" width="34"/>
    <col collapsed="false" customWidth="true" hidden="false" outlineLevel="0" max="8" min="8" style="1" width="10"/>
  </cols>
  <sheetData>
    <row r="1" customFormat="false" ht="17.25" hidden="false" customHeight="true" outlineLevel="0" collapsed="false">
      <c r="A1" s="18" t="s">
        <v>286</v>
      </c>
    </row>
    <row r="2" customFormat="false" ht="15" hidden="false" customHeight="true" outlineLevel="0" collapsed="false">
      <c r="A2" s="19" t="s">
        <v>287</v>
      </c>
    </row>
    <row r="3" customFormat="false" ht="15" hidden="false" customHeight="true" outlineLevel="0" collapsed="false">
      <c r="A3" s="20" t="s">
        <v>73</v>
      </c>
    </row>
    <row r="5" customFormat="false" ht="15" hidden="false" customHeight="true" outlineLevel="0" collapsed="false">
      <c r="A5" s="8" t="s">
        <v>288</v>
      </c>
      <c r="B5" s="9"/>
      <c r="C5" s="9"/>
      <c r="D5" s="9"/>
      <c r="E5" s="9"/>
      <c r="F5" s="9"/>
      <c r="G5" s="9"/>
      <c r="H5" s="9"/>
    </row>
    <row r="6" customFormat="false" ht="42" hidden="false" customHeight="true" outlineLevel="0" collapsed="false">
      <c r="A6" s="4" t="s">
        <v>289</v>
      </c>
      <c r="B6" s="4" t="s">
        <v>290</v>
      </c>
      <c r="C6" s="4" t="s">
        <v>291</v>
      </c>
      <c r="D6" s="4" t="s">
        <v>292</v>
      </c>
      <c r="E6" s="4" t="s">
        <v>293</v>
      </c>
      <c r="F6" s="4" t="s">
        <v>294</v>
      </c>
      <c r="G6" s="4" t="s">
        <v>295</v>
      </c>
      <c r="H6" s="4" t="s">
        <v>2</v>
      </c>
    </row>
    <row r="7" customFormat="false" ht="15" hidden="false" customHeight="true" outlineLevel="0" collapsed="false">
      <c r="A7" s="22" t="n">
        <v>1</v>
      </c>
      <c r="B7" s="6" t="s">
        <v>296</v>
      </c>
      <c r="C7" s="6" t="s">
        <v>297</v>
      </c>
      <c r="D7" s="6" t="s">
        <v>298</v>
      </c>
      <c r="E7" s="33" t="n">
        <f aca="false">'Ek-14'!E10</f>
        <v>1000000</v>
      </c>
      <c r="F7" s="28" t="s">
        <v>299</v>
      </c>
      <c r="G7" s="22" t="str">
        <f aca="false">IF(N(E7)=0,"",IF(F7&lt;&gt;"E","Tebliğ tablosunda değil",IF(E7&gt;Parametreler!$D$18,"Tasdik zorunlu – tek kalem eşiği aşıldı",IF($E$21="Evet","Tasdik zorunlu – toplam eşik aşıldı","Eşik altı"))))</f>
        <v>Tebliğ tablosunda değil</v>
      </c>
      <c r="H7" s="6" t="s">
        <v>39</v>
      </c>
    </row>
    <row r="8" customFormat="false" ht="15" hidden="false" customHeight="true" outlineLevel="0" collapsed="false">
      <c r="A8" s="22" t="n">
        <v>2</v>
      </c>
      <c r="B8" s="6" t="s">
        <v>300</v>
      </c>
      <c r="C8" s="6" t="s">
        <v>127</v>
      </c>
      <c r="D8" s="6" t="s">
        <v>298</v>
      </c>
      <c r="E8" s="33" t="n">
        <f aca="false">'Ek-14'!E11</f>
        <v>2100000</v>
      </c>
      <c r="F8" s="28" t="s">
        <v>251</v>
      </c>
      <c r="G8" s="22" t="str">
        <f aca="false">IF(N(E8)=0,"",IF(F8&lt;&gt;"E","Tebliğ tablosunda değil",IF(E8&gt;Parametreler!$D$18,"Tasdik zorunlu – tek kalem eşiği aşıldı",IF($E$21="Evet","Tasdik zorunlu – toplam eşik aşıldı","Eşik altı"))))</f>
        <v>Tasdik zorunlu – tek kalem eşiği aşıldı</v>
      </c>
      <c r="H8" s="6" t="s">
        <v>39</v>
      </c>
    </row>
    <row r="9" customFormat="false" ht="23.25" hidden="false" customHeight="true" outlineLevel="0" collapsed="false">
      <c r="A9" s="22" t="n">
        <v>3</v>
      </c>
      <c r="B9" s="6" t="s">
        <v>301</v>
      </c>
      <c r="C9" s="6" t="s">
        <v>120</v>
      </c>
      <c r="D9" s="6" t="s">
        <v>298</v>
      </c>
      <c r="E9" s="33" t="n">
        <f aca="false">'Ek-14'!E12</f>
        <v>3950000</v>
      </c>
      <c r="F9" s="28" t="s">
        <v>251</v>
      </c>
      <c r="G9" s="22" t="str">
        <f aca="false">IF(N(E9)=0,"",IF(F9&lt;&gt;"E","Tebliğ tablosunda değil",IF(E9&gt;Parametreler!$D$18,"Tasdik zorunlu – tek kalem eşiği aşıldı",IF($E$21="Evet","Tasdik zorunlu – toplam eşik aşıldı","Eşik altı"))))</f>
        <v>Tasdik zorunlu – tek kalem eşiği aşıldı</v>
      </c>
      <c r="H9" s="6" t="s">
        <v>36</v>
      </c>
    </row>
    <row r="10" customFormat="false" ht="15" hidden="false" customHeight="true" outlineLevel="0" collapsed="false">
      <c r="A10" s="22" t="n">
        <v>4</v>
      </c>
      <c r="B10" s="6" t="s">
        <v>302</v>
      </c>
      <c r="C10" s="6" t="s">
        <v>303</v>
      </c>
      <c r="D10" s="6" t="s">
        <v>298</v>
      </c>
      <c r="E10" s="33" t="n">
        <f aca="false">'Ek-14'!E13</f>
        <v>2500000</v>
      </c>
      <c r="F10" s="28" t="s">
        <v>251</v>
      </c>
      <c r="G10" s="22" t="str">
        <f aca="false">IF(N(E10)=0,"",IF(F10&lt;&gt;"E","Tebliğ tablosunda değil",IF(E10&gt;Parametreler!$D$18,"Tasdik zorunlu – tek kalem eşiği aşıldı",IF($E$21="Evet","Tasdik zorunlu – toplam eşik aşıldı","Eşik altı"))))</f>
        <v>Tasdik zorunlu – tek kalem eşiği aşıldı</v>
      </c>
      <c r="H10" s="6" t="s">
        <v>27</v>
      </c>
    </row>
    <row r="11" customFormat="false" ht="23.25" hidden="false" customHeight="true" outlineLevel="0" collapsed="false">
      <c r="A11" s="22" t="n">
        <v>5</v>
      </c>
      <c r="B11" s="6" t="s">
        <v>304</v>
      </c>
      <c r="C11" s="6" t="s">
        <v>305</v>
      </c>
      <c r="D11" s="6" t="s">
        <v>306</v>
      </c>
      <c r="E11" s="33" t="n">
        <f aca="false">'Ek-14'!E17</f>
        <v>5501960</v>
      </c>
      <c r="F11" s="28" t="s">
        <v>251</v>
      </c>
      <c r="G11" s="22" t="str">
        <f aca="false">IF(N(E11)=0,"",IF(F11&lt;&gt;"E","Tebliğ tablosunda değil",IF(E11&gt;Parametreler!$D$18,"Tasdik zorunlu – tek kalem eşiği aşıldı",IF($E$21="Evet","Tasdik zorunlu – toplam eşik aşıldı","Eşik altı"))))</f>
        <v>Tasdik zorunlu – tek kalem eşiği aşıldı</v>
      </c>
      <c r="H11" s="6" t="s">
        <v>24</v>
      </c>
    </row>
    <row r="12" customFormat="false" ht="15" hidden="false" customHeight="true" outlineLevel="0" collapsed="false">
      <c r="A12" s="22" t="n">
        <v>6</v>
      </c>
      <c r="B12" s="6" t="s">
        <v>307</v>
      </c>
      <c r="C12" s="6" t="s">
        <v>133</v>
      </c>
      <c r="D12" s="6" t="s">
        <v>306</v>
      </c>
      <c r="E12" s="33" t="n">
        <f aca="false">'Ek-14'!E18</f>
        <v>250000</v>
      </c>
      <c r="F12" s="28" t="s">
        <v>299</v>
      </c>
      <c r="G12" s="22" t="str">
        <f aca="false">IF(N(E12)=0,"",IF(F12&lt;&gt;"E","Tebliğ tablosunda değil",IF(E12&gt;Parametreler!$D$18,"Tasdik zorunlu – tek kalem eşiği aşıldı",IF($E$21="Evet","Tasdik zorunlu – toplam eşik aşıldı","Eşik altı"))))</f>
        <v>Tebliğ tablosunda değil</v>
      </c>
      <c r="H12" s="6" t="s">
        <v>42</v>
      </c>
    </row>
    <row r="13" customFormat="false" ht="15" hidden="false" customHeight="true" outlineLevel="0" collapsed="false">
      <c r="A13" s="22" t="n">
        <v>7</v>
      </c>
      <c r="B13" s="6" t="s">
        <v>308</v>
      </c>
      <c r="C13" s="6" t="s">
        <v>309</v>
      </c>
      <c r="D13" s="6" t="s">
        <v>306</v>
      </c>
      <c r="E13" s="33" t="n">
        <f aca="false">'Ek-14'!E19</f>
        <v>1127402</v>
      </c>
      <c r="F13" s="28" t="s">
        <v>299</v>
      </c>
      <c r="G13" s="22" t="str">
        <f aca="false">IF(N(E13)=0,"",IF(F13&lt;&gt;"E","Tebliğ tablosunda değil",IF(E13&gt;Parametreler!$D$18,"Tasdik zorunlu – tek kalem eşiği aşıldı",IF($E$21="Evet","Tasdik zorunlu – toplam eşik aşıldı","Eşik altı"))))</f>
        <v>Tebliğ tablosunda değil</v>
      </c>
      <c r="H13" s="6" t="s">
        <v>42</v>
      </c>
    </row>
    <row r="14" customFormat="false" ht="15" hidden="false" customHeight="true" outlineLevel="0" collapsed="false">
      <c r="A14" s="22" t="n">
        <v>8</v>
      </c>
      <c r="B14" s="6" t="s">
        <v>310</v>
      </c>
      <c r="C14" s="6" t="s">
        <v>311</v>
      </c>
      <c r="D14" s="6" t="s">
        <v>306</v>
      </c>
      <c r="E14" s="33" t="n">
        <f aca="false">'Ek-14'!E20</f>
        <v>5600000</v>
      </c>
      <c r="F14" s="28" t="s">
        <v>251</v>
      </c>
      <c r="G14" s="22" t="str">
        <f aca="false">IF(N(E14)=0,"",IF(F14&lt;&gt;"E","Tebliğ tablosunda değil",IF(E14&gt;Parametreler!$D$18,"Tasdik zorunlu – tek kalem eşiği aşıldı",IF($E$21="Evet","Tasdik zorunlu – toplam eşik aşıldı","Eşik altı"))))</f>
        <v>Tasdik zorunlu – tek kalem eşiği aşıldı</v>
      </c>
      <c r="H14" s="6" t="s">
        <v>18</v>
      </c>
    </row>
    <row r="15" customFormat="false" ht="15" hidden="false" customHeight="true" outlineLevel="0" collapsed="false">
      <c r="A15" s="22" t="n">
        <v>9</v>
      </c>
      <c r="B15" s="6" t="s">
        <v>312</v>
      </c>
      <c r="C15" s="6" t="s">
        <v>313</v>
      </c>
      <c r="D15" s="6" t="s">
        <v>306</v>
      </c>
      <c r="E15" s="33" t="n">
        <f aca="false">'Ek-14'!E21</f>
        <v>755666.666666667</v>
      </c>
      <c r="F15" s="28" t="s">
        <v>251</v>
      </c>
      <c r="G15" s="22" t="str">
        <f aca="false">IF(N(E15)=0,"",IF(F15&lt;&gt;"E","Tebliğ tablosunda değil",IF(E15&gt;Parametreler!$D$18,"Tasdik zorunlu – tek kalem eşiği aşıldı",IF($E$21="Evet","Tasdik zorunlu – toplam eşik aşıldı","Eşik altı"))))</f>
        <v>Tasdik zorunlu – tek kalem eşiği aşıldı</v>
      </c>
      <c r="H15" s="6" t="s">
        <v>33</v>
      </c>
    </row>
    <row r="16" customFormat="false" ht="15" hidden="false" customHeight="true" outlineLevel="0" collapsed="false">
      <c r="A16" s="22" t="n">
        <v>10</v>
      </c>
      <c r="B16" s="6" t="s">
        <v>314</v>
      </c>
      <c r="C16" s="6" t="s">
        <v>315</v>
      </c>
      <c r="D16" s="6" t="s">
        <v>298</v>
      </c>
      <c r="E16" s="33" t="n">
        <f aca="false">'Ek-14'!E14</f>
        <v>0</v>
      </c>
      <c r="F16" s="6" t="s">
        <v>316</v>
      </c>
      <c r="G16" s="22" t="str">
        <f aca="false">IF(N(E16)=0,"",IF(E16&gt;Parametreler!$D$19,"Tasdik zorunlu – “Diğer” satırı eşiği aşıldı","Eşik altı"))</f>
        <v/>
      </c>
      <c r="H16" s="6" t="s">
        <v>48</v>
      </c>
    </row>
    <row r="17" customFormat="false" ht="15" hidden="false" customHeight="true" outlineLevel="0" collapsed="false">
      <c r="A17" s="22" t="n">
        <v>11</v>
      </c>
      <c r="B17" s="6" t="s">
        <v>317</v>
      </c>
      <c r="C17" s="6" t="s">
        <v>315</v>
      </c>
      <c r="D17" s="6" t="s">
        <v>306</v>
      </c>
      <c r="E17" s="33" t="n">
        <f aca="false">'Ek-14'!E22</f>
        <v>0</v>
      </c>
      <c r="F17" s="6" t="s">
        <v>316</v>
      </c>
      <c r="G17" s="22" t="str">
        <f aca="false">IF(N(E17)=0,"",IF(E17&gt;Parametreler!$D$19,"Tasdik zorunlu – “Diğer” satırı eşiği aşıldı","Eşik altı"))</f>
        <v/>
      </c>
      <c r="H17" s="6" t="s">
        <v>48</v>
      </c>
    </row>
    <row r="18" customFormat="false" ht="15" hidden="false" customHeight="true" outlineLevel="0" collapsed="false">
      <c r="D18" s="31" t="s">
        <v>173</v>
      </c>
      <c r="E18" s="27" t="n">
        <f aca="false">SUM(E7:E17)</f>
        <v>22785028.6666667</v>
      </c>
    </row>
    <row r="20" customFormat="false" ht="15" hidden="false" customHeight="true" outlineLevel="0" collapsed="false">
      <c r="B20" s="6" t="s">
        <v>318</v>
      </c>
      <c r="C20" s="6"/>
      <c r="D20" s="6"/>
      <c r="E20" s="27" t="n">
        <f aca="false">SUMIF(F7:F15,"E",E7:E15)</f>
        <v>20407626.6666667</v>
      </c>
    </row>
    <row r="21" customFormat="false" ht="15" hidden="false" customHeight="true" outlineLevel="0" collapsed="false">
      <c r="B21" s="6" t="s">
        <v>319</v>
      </c>
      <c r="C21" s="6"/>
      <c r="D21" s="6"/>
      <c r="E21" s="12" t="str">
        <f aca="false">IF(E20&gt;Parametreler!$D$19,"Evet","Hayır")</f>
        <v>Evet</v>
      </c>
      <c r="F21" s="12"/>
      <c r="G21" s="12"/>
    </row>
    <row r="22" customFormat="false" ht="15" hidden="false" customHeight="true" outlineLevel="0" collapsed="false">
      <c r="B22" s="6" t="s">
        <v>320</v>
      </c>
      <c r="C22" s="6"/>
      <c r="D22" s="6"/>
      <c r="E22" s="27" t="n">
        <f aca="false">E16+E17</f>
        <v>0</v>
      </c>
    </row>
    <row r="23" customFormat="false" ht="15" hidden="false" customHeight="true" outlineLevel="0" collapsed="false">
      <c r="B23" s="6" t="s">
        <v>321</v>
      </c>
      <c r="C23" s="6"/>
      <c r="D23" s="6"/>
      <c r="E23" s="12" t="str">
        <f aca="false">IF(E22&gt;Parametreler!$D$19,"Evet","Hayır")</f>
        <v>Hayır</v>
      </c>
      <c r="F23" s="12"/>
      <c r="G23" s="12"/>
    </row>
    <row r="24" customFormat="false" ht="15" hidden="false" customHeight="true" outlineLevel="0" collapsed="false">
      <c r="B24" s="6" t="s">
        <v>322</v>
      </c>
      <c r="C24" s="6"/>
      <c r="D24" s="6"/>
      <c r="E24" s="27" t="n">
        <f aca="false">'Ek-5'!D22</f>
        <v>141488.800661728</v>
      </c>
    </row>
    <row r="25" customFormat="false" ht="15" hidden="false" customHeight="true" outlineLevel="0" collapsed="false">
      <c r="B25" s="6" t="s">
        <v>323</v>
      </c>
      <c r="C25" s="6"/>
      <c r="D25" s="6"/>
      <c r="E25" s="12" t="str">
        <f aca="false">IF(E24&gt;Parametreler!$D$20,"Tasdik zorunlu","Eşik altı")</f>
        <v>Eşik altı</v>
      </c>
      <c r="F25" s="12"/>
      <c r="G25" s="12"/>
    </row>
    <row r="26" customFormat="false" ht="15" hidden="false" customHeight="true" outlineLevel="0" collapsed="false">
      <c r="B26" s="6" t="s">
        <v>324</v>
      </c>
      <c r="C26" s="6"/>
      <c r="D26" s="6"/>
      <c r="E26" s="27" t="n">
        <f aca="false">'Ek-8'!J24</f>
        <v>1300690.47940741</v>
      </c>
    </row>
    <row r="27" customFormat="false" ht="15" hidden="false" customHeight="true" outlineLevel="0" collapsed="false">
      <c r="B27" s="6" t="s">
        <v>325</v>
      </c>
      <c r="C27" s="6"/>
      <c r="D27" s="6"/>
      <c r="E27" s="12" t="str">
        <f aca="false">IF(E26&gt;0,"Tasdik zorunlu","Uygulanmıyor")</f>
        <v>Tasdik zorunlu</v>
      </c>
      <c r="F27" s="12"/>
      <c r="G27" s="12"/>
    </row>
    <row r="28" customFormat="false" ht="15" hidden="false" customHeight="true" outlineLevel="0" collapsed="false">
      <c r="B28" s="5" t="s">
        <v>326</v>
      </c>
      <c r="C28" s="5"/>
      <c r="D28" s="5"/>
      <c r="E28" s="12" t="str">
        <f aca="false">IF(OR(E23="Evet",COUNTIF(G7:G17,"Tasdik zorunlu*")&gt;0,E25="Tasdik zorunlu",E27="Tasdik zorunlu"),"YMM tasdik raporu gerekli (son gün: Parametreler D13)","Tebliğ kapsamında tasdik gerekmiyor")</f>
        <v>YMM tasdik raporu gerekli (son gün: Parametreler D13)</v>
      </c>
      <c r="F28" s="12"/>
      <c r="G28" s="12"/>
    </row>
    <row r="29" customFormat="false" ht="43.5" hidden="false" customHeight="true" outlineLevel="0" collapsed="false">
      <c r="A29" s="17" t="s">
        <v>327</v>
      </c>
      <c r="B29" s="17"/>
      <c r="C29" s="17"/>
      <c r="D29" s="17"/>
      <c r="E29" s="17"/>
      <c r="F29" s="17"/>
      <c r="G29" s="17"/>
      <c r="H29" s="17"/>
    </row>
    <row r="31" customFormat="false" ht="15" hidden="false" customHeight="true" outlineLevel="0" collapsed="false">
      <c r="A31" s="8" t="s">
        <v>328</v>
      </c>
      <c r="B31" s="9"/>
      <c r="C31" s="9"/>
      <c r="D31" s="9"/>
      <c r="E31" s="9"/>
      <c r="F31" s="9"/>
      <c r="G31" s="9"/>
      <c r="H31" s="9"/>
    </row>
    <row r="32" customFormat="false" ht="42" hidden="false" customHeight="true" outlineLevel="0" collapsed="false">
      <c r="A32" s="4" t="s">
        <v>289</v>
      </c>
      <c r="B32" s="4" t="s">
        <v>94</v>
      </c>
      <c r="C32" s="4" t="s">
        <v>329</v>
      </c>
      <c r="D32" s="4" t="s">
        <v>330</v>
      </c>
      <c r="E32" s="4" t="s">
        <v>331</v>
      </c>
      <c r="F32" s="4"/>
      <c r="G32" s="4"/>
      <c r="H32" s="4" t="s">
        <v>332</v>
      </c>
    </row>
    <row r="33" customFormat="false" ht="15" hidden="false" customHeight="true" outlineLevel="0" collapsed="false">
      <c r="A33" s="22" t="n">
        <v>1</v>
      </c>
      <c r="B33" s="28" t="s">
        <v>333</v>
      </c>
      <c r="C33" s="28" t="s">
        <v>334</v>
      </c>
      <c r="D33" s="28" t="s">
        <v>335</v>
      </c>
      <c r="E33" s="26" t="n">
        <v>250000</v>
      </c>
      <c r="H33" s="28"/>
    </row>
    <row r="34" customFormat="false" ht="15" hidden="false" customHeight="true" outlineLevel="0" collapsed="false">
      <c r="A34" s="22" t="n">
        <v>2</v>
      </c>
      <c r="B34" s="28" t="s">
        <v>336</v>
      </c>
      <c r="C34" s="28" t="s">
        <v>337</v>
      </c>
      <c r="D34" s="28" t="s">
        <v>338</v>
      </c>
      <c r="E34" s="26" t="n">
        <v>180000</v>
      </c>
      <c r="H34" s="28"/>
    </row>
    <row r="35" customFormat="false" ht="15" hidden="false" customHeight="true" outlineLevel="0" collapsed="false">
      <c r="A35" s="22" t="n">
        <v>3</v>
      </c>
      <c r="B35" s="28" t="s">
        <v>339</v>
      </c>
      <c r="C35" s="28" t="s">
        <v>340</v>
      </c>
      <c r="D35" s="28" t="s">
        <v>341</v>
      </c>
      <c r="E35" s="26" t="n">
        <v>70000</v>
      </c>
      <c r="H35" s="28"/>
    </row>
    <row r="36" customFormat="false" ht="15" hidden="false" customHeight="true" outlineLevel="0" collapsed="false">
      <c r="A36" s="22" t="n">
        <v>4</v>
      </c>
      <c r="B36" s="28" t="s">
        <v>342</v>
      </c>
      <c r="C36" s="28" t="s">
        <v>340</v>
      </c>
      <c r="D36" s="28" t="s">
        <v>309</v>
      </c>
      <c r="E36" s="33" t="n">
        <f aca="false">'Ek-12'!D30</f>
        <v>1300000</v>
      </c>
      <c r="H36" s="28"/>
    </row>
    <row r="37" customFormat="false" ht="15" hidden="false" customHeight="true" outlineLevel="0" collapsed="false">
      <c r="A37" s="22" t="n">
        <v>5</v>
      </c>
      <c r="B37" s="28" t="s">
        <v>343</v>
      </c>
      <c r="C37" s="28" t="s">
        <v>344</v>
      </c>
      <c r="D37" s="28" t="s">
        <v>133</v>
      </c>
      <c r="E37" s="33" t="n">
        <f aca="false">'Ek-12'!D29</f>
        <v>300000</v>
      </c>
      <c r="H37" s="28"/>
    </row>
    <row r="38" customFormat="false" ht="15" hidden="false" customHeight="true" outlineLevel="0" collapsed="false">
      <c r="A38" s="22" t="n">
        <v>6</v>
      </c>
      <c r="B38" s="28"/>
      <c r="C38" s="28"/>
      <c r="D38" s="28"/>
      <c r="E38" s="26"/>
      <c r="H38" s="28"/>
    </row>
    <row r="39" customFormat="false" ht="15" hidden="false" customHeight="true" outlineLevel="0" collapsed="false">
      <c r="A39" s="22" t="n">
        <v>7</v>
      </c>
      <c r="B39" s="28"/>
      <c r="C39" s="28"/>
      <c r="D39" s="28"/>
      <c r="E39" s="26"/>
      <c r="H39" s="28"/>
    </row>
    <row r="40" customFormat="false" ht="15" hidden="false" customHeight="true" outlineLevel="0" collapsed="false">
      <c r="A40" s="22" t="n">
        <v>8</v>
      </c>
      <c r="B40" s="28"/>
      <c r="C40" s="28"/>
      <c r="D40" s="28"/>
      <c r="E40" s="26"/>
      <c r="H40" s="28"/>
    </row>
    <row r="41" customFormat="false" ht="15" hidden="false" customHeight="true" outlineLevel="0" collapsed="false">
      <c r="A41" s="22" t="n">
        <v>9</v>
      </c>
      <c r="B41" s="28"/>
      <c r="C41" s="28"/>
      <c r="D41" s="28"/>
      <c r="E41" s="26"/>
      <c r="H41" s="28"/>
    </row>
    <row r="42" customFormat="false" ht="15" hidden="false" customHeight="true" outlineLevel="0" collapsed="false">
      <c r="A42" s="22" t="n">
        <v>10</v>
      </c>
      <c r="B42" s="28"/>
      <c r="C42" s="28"/>
      <c r="D42" s="28"/>
      <c r="E42" s="26"/>
      <c r="H42" s="28"/>
    </row>
    <row r="43" customFormat="false" ht="15" hidden="false" customHeight="true" outlineLevel="0" collapsed="false">
      <c r="D43" s="31" t="s">
        <v>345</v>
      </c>
      <c r="E43" s="27" t="n">
        <f aca="false">SUM(E33:E42)</f>
        <v>2100000</v>
      </c>
    </row>
    <row r="44" customFormat="false" ht="30" hidden="false" customHeight="true" outlineLevel="0" collapsed="false">
      <c r="A44" s="17" t="s">
        <v>346</v>
      </c>
      <c r="B44" s="17"/>
      <c r="C44" s="17"/>
      <c r="D44" s="17"/>
      <c r="E44" s="17"/>
      <c r="F44" s="17"/>
      <c r="G44" s="17"/>
      <c r="H44" s="17"/>
    </row>
  </sheetData>
  <mergeCells count="16">
    <mergeCell ref="B20:D20"/>
    <mergeCell ref="B21:D21"/>
    <mergeCell ref="E21:G21"/>
    <mergeCell ref="B22:D22"/>
    <mergeCell ref="B23:D23"/>
    <mergeCell ref="E23:G23"/>
    <mergeCell ref="B24:D24"/>
    <mergeCell ref="B25:D25"/>
    <mergeCell ref="E25:G25"/>
    <mergeCell ref="B26:D26"/>
    <mergeCell ref="B27:D27"/>
    <mergeCell ref="E27:G27"/>
    <mergeCell ref="B28:D28"/>
    <mergeCell ref="E28:G28"/>
    <mergeCell ref="A29:H29"/>
    <mergeCell ref="A44:H44"/>
  </mergeCells>
  <dataValidations count="1">
    <dataValidation allowBlank="true" errorStyle="stop" operator="between" showDropDown="false" showErrorMessage="false" showInputMessage="false" sqref="F7:F15"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6" min="2" style="1" width="17"/>
    <col collapsed="false" customWidth="true" hidden="false" outlineLevel="0" max="7" min="7" style="1" width="18"/>
    <col collapsed="false" customWidth="true" hidden="false" outlineLevel="0" max="8" min="8" style="1" width="3"/>
    <col collapsed="false" customWidth="true" hidden="false" outlineLevel="0" max="9" min="9" style="1" width="34"/>
    <col collapsed="false" customWidth="true" hidden="false" outlineLevel="0" max="10" min="10" style="1" width="16"/>
  </cols>
  <sheetData>
    <row r="1" customFormat="false" ht="17.25" hidden="false" customHeight="true" outlineLevel="0" collapsed="false">
      <c r="A1" s="18" t="s">
        <v>347</v>
      </c>
    </row>
    <row r="2" customFormat="false" ht="15" hidden="false" customHeight="true" outlineLevel="0" collapsed="false">
      <c r="A2" s="19" t="s">
        <v>348</v>
      </c>
    </row>
    <row r="3" customFormat="false" ht="15" hidden="false" customHeight="true" outlineLevel="0" collapsed="false">
      <c r="A3" s="20" t="s">
        <v>73</v>
      </c>
    </row>
    <row r="4" customFormat="false" ht="15" hidden="false" customHeight="true" outlineLevel="0" collapsed="false">
      <c r="A4" s="8" t="s">
        <v>349</v>
      </c>
      <c r="B4" s="9"/>
      <c r="C4" s="9"/>
      <c r="D4" s="9"/>
      <c r="E4" s="9"/>
      <c r="F4" s="9"/>
      <c r="G4" s="9"/>
    </row>
    <row r="5" customFormat="false" ht="42" hidden="false" customHeight="true" outlineLevel="0" collapsed="false">
      <c r="A5" s="4" t="s">
        <v>350</v>
      </c>
      <c r="B5" s="4" t="s">
        <v>351</v>
      </c>
      <c r="C5" s="4" t="s">
        <v>352</v>
      </c>
      <c r="D5" s="4" t="s">
        <v>353</v>
      </c>
      <c r="E5" s="4" t="s">
        <v>354</v>
      </c>
      <c r="F5" s="4" t="s">
        <v>355</v>
      </c>
      <c r="G5" s="4" t="s">
        <v>173</v>
      </c>
      <c r="I5" s="31" t="s">
        <v>356</v>
      </c>
      <c r="J5" s="28" t="s">
        <v>357</v>
      </c>
    </row>
    <row r="6" customFormat="false" ht="23.25" hidden="false" customHeight="true" outlineLevel="0" collapsed="false">
      <c r="A6" s="6" t="s">
        <v>358</v>
      </c>
      <c r="B6" s="26" t="n">
        <v>12000000</v>
      </c>
      <c r="C6" s="26" t="n">
        <v>30000000</v>
      </c>
      <c r="D6" s="26" t="n">
        <v>25000000</v>
      </c>
      <c r="E6" s="26" t="n">
        <v>6000000</v>
      </c>
      <c r="F6" s="26" t="n">
        <v>10000000</v>
      </c>
      <c r="G6" s="27" t="n">
        <f aca="false">SUM(B6:F6)</f>
        <v>83000000</v>
      </c>
      <c r="I6" s="5" t="s">
        <v>359</v>
      </c>
    </row>
    <row r="7" customFormat="false" ht="15" hidden="false" customHeight="true" outlineLevel="0" collapsed="false">
      <c r="A7" s="6" t="s">
        <v>360</v>
      </c>
      <c r="B7" s="26" t="n">
        <v>5000000</v>
      </c>
      <c r="C7" s="26" t="n">
        <v>21000000</v>
      </c>
      <c r="D7" s="26" t="n">
        <v>17500000</v>
      </c>
      <c r="E7" s="26" t="n">
        <v>2800000</v>
      </c>
      <c r="F7" s="26" t="n">
        <v>7000000</v>
      </c>
      <c r="G7" s="27" t="n">
        <f aca="false">SUM(B7:F7)</f>
        <v>53300000</v>
      </c>
      <c r="I7" s="6" t="s">
        <v>351</v>
      </c>
      <c r="J7" s="23"/>
    </row>
    <row r="8" customFormat="false" ht="15" hidden="false" customHeight="true" outlineLevel="0" collapsed="false">
      <c r="A8" s="5" t="s">
        <v>361</v>
      </c>
      <c r="B8" s="33" t="n">
        <f aca="false">B6-B7</f>
        <v>7000000</v>
      </c>
      <c r="C8" s="33" t="n">
        <f aca="false">C6-C7</f>
        <v>9000000</v>
      </c>
      <c r="D8" s="33" t="n">
        <f aca="false">D6-D7</f>
        <v>7500000</v>
      </c>
      <c r="E8" s="33" t="n">
        <f aca="false">E6-E7</f>
        <v>3200000</v>
      </c>
      <c r="F8" s="33" t="n">
        <f aca="false">F6-F7</f>
        <v>3000000</v>
      </c>
      <c r="G8" s="27" t="n">
        <f aca="false">SUM(B8:F8)</f>
        <v>29700000</v>
      </c>
      <c r="I8" s="6" t="s">
        <v>352</v>
      </c>
      <c r="J8" s="23"/>
    </row>
    <row r="9" customFormat="false" ht="15" hidden="false" customHeight="true" outlineLevel="0" collapsed="false">
      <c r="A9" s="6" t="s">
        <v>362</v>
      </c>
      <c r="B9" s="26" t="n">
        <v>1000000</v>
      </c>
      <c r="C9" s="26" t="n">
        <v>1500000</v>
      </c>
      <c r="D9" s="26" t="n">
        <v>1200000</v>
      </c>
      <c r="E9" s="26" t="n">
        <v>400000</v>
      </c>
      <c r="F9" s="26" t="n">
        <v>900000</v>
      </c>
      <c r="G9" s="27" t="n">
        <f aca="false">SUM(B9:F9)</f>
        <v>5000000</v>
      </c>
      <c r="I9" s="6" t="s">
        <v>353</v>
      </c>
      <c r="J9" s="23"/>
    </row>
    <row r="10" customFormat="false" ht="15" hidden="false" customHeight="true" outlineLevel="0" collapsed="false">
      <c r="A10" s="5" t="s">
        <v>363</v>
      </c>
      <c r="B10" s="30" t="n">
        <f aca="false">IF($J$5="Hasılat oranı",IF($G$6=0,0,B6/$G$6),N($J$7))</f>
        <v>0.144578313253012</v>
      </c>
      <c r="C10" s="30" t="n">
        <f aca="false">IF($J$5="Hasılat oranı",IF($G$6=0,0,C6/$G$6),N($J$8))</f>
        <v>0.36144578313253</v>
      </c>
      <c r="D10" s="30" t="n">
        <f aca="false">IF($J$5="Hasılat oranı",IF($G$6=0,0,D6/$G$6),N($J$9))</f>
        <v>0.301204819277108</v>
      </c>
      <c r="E10" s="30" t="n">
        <f aca="false">IF($J$5="Hasılat oranı",IF($G$6=0,0,E6/$G$6),N($J$10))</f>
        <v>0.072289156626506</v>
      </c>
      <c r="F10" s="30" t="n">
        <f aca="false">IF($J$5="Hasılat oranı",IF($G$6=0,0,F6/$G$6),N($J$11))</f>
        <v>0.120481927710843</v>
      </c>
      <c r="G10" s="34" t="n">
        <f aca="false">SUM(B10:F10)</f>
        <v>1</v>
      </c>
      <c r="I10" s="6" t="s">
        <v>354</v>
      </c>
      <c r="J10" s="23"/>
    </row>
    <row r="11" customFormat="false" ht="15" hidden="false" customHeight="true" outlineLevel="0" collapsed="false">
      <c r="A11" s="5" t="s">
        <v>364</v>
      </c>
      <c r="B11" s="33" t="n">
        <f aca="false">$G$15*B10</f>
        <v>600000</v>
      </c>
      <c r="C11" s="33" t="n">
        <f aca="false">$G$15*C10</f>
        <v>1500000</v>
      </c>
      <c r="D11" s="33" t="n">
        <f aca="false">$G$15*D10</f>
        <v>1250000</v>
      </c>
      <c r="E11" s="33" t="n">
        <f aca="false">$G$15*E10</f>
        <v>300000</v>
      </c>
      <c r="F11" s="33" t="n">
        <f aca="false">$G$15*F10</f>
        <v>500000</v>
      </c>
      <c r="G11" s="27" t="n">
        <f aca="false">SUM(B11:F11)</f>
        <v>4150000</v>
      </c>
      <c r="I11" s="6" t="s">
        <v>355</v>
      </c>
      <c r="J11" s="23"/>
    </row>
    <row r="12" customFormat="false" ht="15" hidden="false" customHeight="true" outlineLevel="0" collapsed="false">
      <c r="A12" s="6" t="s">
        <v>365</v>
      </c>
      <c r="B12" s="26" t="n">
        <v>200000</v>
      </c>
      <c r="C12" s="26" t="n">
        <v>300000</v>
      </c>
      <c r="D12" s="26" t="n">
        <v>0</v>
      </c>
      <c r="E12" s="26" t="n">
        <v>0</v>
      </c>
      <c r="F12" s="26" t="n">
        <v>0</v>
      </c>
      <c r="G12" s="27" t="n">
        <f aca="false">SUM(B12:F12)</f>
        <v>500000</v>
      </c>
      <c r="I12" s="5" t="s">
        <v>366</v>
      </c>
      <c r="J12" s="34" t="n">
        <f aca="false">SUM(J7:J11)</f>
        <v>0</v>
      </c>
    </row>
    <row r="13" customFormat="false" ht="15" hidden="false" customHeight="true" outlineLevel="0" collapsed="false">
      <c r="A13" s="5" t="s">
        <v>367</v>
      </c>
      <c r="B13" s="27" t="n">
        <f aca="false">B8-B9-B11+B12</f>
        <v>5600000</v>
      </c>
      <c r="C13" s="27" t="n">
        <f aca="false">C8-C9-C11+C12</f>
        <v>6300000</v>
      </c>
      <c r="D13" s="27" t="n">
        <f aca="false">D8-D9-D11+D12</f>
        <v>5050000</v>
      </c>
      <c r="E13" s="27" t="n">
        <f aca="false">E8-E9-E11+E12</f>
        <v>2500000</v>
      </c>
      <c r="F13" s="27" t="n">
        <f aca="false">F8-F9-F11+F12</f>
        <v>1600000</v>
      </c>
      <c r="G13" s="27" t="n">
        <f aca="false">SUM(B13:F13)</f>
        <v>21050000</v>
      </c>
      <c r="I13" s="6" t="s">
        <v>368</v>
      </c>
      <c r="J13" s="12" t="str">
        <f aca="false">IF(J5="Hasılat oranı","Tamam",IF(ROUND(J12,4)=1,"Tamam","Toplam %100 değil"))</f>
        <v>Tamam</v>
      </c>
    </row>
    <row r="15" customFormat="false" ht="15" hidden="false" customHeight="true" outlineLevel="0" collapsed="false">
      <c r="A15" s="31" t="s">
        <v>369</v>
      </c>
      <c r="B15" s="31"/>
      <c r="C15" s="31"/>
      <c r="D15" s="31"/>
      <c r="E15" s="31"/>
      <c r="F15" s="31"/>
      <c r="G15" s="26" t="n">
        <v>4150000</v>
      </c>
    </row>
    <row r="16" customFormat="false" ht="15" hidden="false" customHeight="true" outlineLevel="0" collapsed="false">
      <c r="A16" s="6" t="s">
        <v>370</v>
      </c>
      <c r="B16" s="6"/>
      <c r="C16" s="6"/>
      <c r="D16" s="6"/>
      <c r="E16" s="6"/>
      <c r="F16" s="6"/>
      <c r="G16" s="22" t="str">
        <f aca="false">IF(ROUND(G11-G15,0)=0,"Uyumlu","Fark var")</f>
        <v>Uyumlu</v>
      </c>
    </row>
    <row r="17" customFormat="false" ht="43.5" hidden="false" customHeight="true" outlineLevel="0" collapsed="false">
      <c r="A17" s="17" t="s">
        <v>371</v>
      </c>
      <c r="B17" s="17"/>
      <c r="C17" s="17"/>
      <c r="D17" s="17"/>
      <c r="E17" s="17"/>
      <c r="F17" s="17"/>
      <c r="G17" s="17"/>
    </row>
    <row r="19" customFormat="false" ht="15" hidden="false" customHeight="true" outlineLevel="0" collapsed="false">
      <c r="A19" s="8" t="s">
        <v>372</v>
      </c>
      <c r="B19" s="9"/>
      <c r="C19" s="9"/>
      <c r="D19" s="9"/>
      <c r="E19" s="9"/>
      <c r="F19" s="9"/>
      <c r="G19" s="9"/>
    </row>
    <row r="20" customFormat="false" ht="42" hidden="false" customHeight="true" outlineLevel="0" collapsed="false">
      <c r="A20" s="4" t="s">
        <v>373</v>
      </c>
      <c r="B20" s="4" t="s">
        <v>331</v>
      </c>
      <c r="C20" s="4" t="s">
        <v>374</v>
      </c>
      <c r="D20" s="4"/>
      <c r="E20" s="4"/>
      <c r="F20" s="4"/>
      <c r="G20" s="4"/>
    </row>
    <row r="21" customFormat="false" ht="15" hidden="false" customHeight="true" outlineLevel="0" collapsed="false">
      <c r="A21" s="6" t="s">
        <v>375</v>
      </c>
      <c r="B21" s="33" t="n">
        <f aca="false">G13</f>
        <v>21050000</v>
      </c>
      <c r="C21" s="6" t="s">
        <v>376</v>
      </c>
    </row>
    <row r="22" customFormat="false" ht="15" hidden="false" customHeight="true" outlineLevel="0" collapsed="false">
      <c r="A22" s="6" t="s">
        <v>377</v>
      </c>
      <c r="B22" s="33" t="n">
        <f aca="false">'Ek-11'!E13</f>
        <v>1000000</v>
      </c>
      <c r="C22" s="6" t="s">
        <v>378</v>
      </c>
    </row>
    <row r="23" customFormat="false" ht="15" hidden="false" customHeight="true" outlineLevel="0" collapsed="false">
      <c r="A23" s="6" t="s">
        <v>379</v>
      </c>
      <c r="B23" s="33" t="n">
        <f aca="false">'Ek-11'!F23</f>
        <v>2500000</v>
      </c>
      <c r="C23" s="6" t="s">
        <v>380</v>
      </c>
    </row>
    <row r="24" customFormat="false" ht="15" hidden="false" customHeight="true" outlineLevel="0" collapsed="false">
      <c r="A24" s="6" t="s">
        <v>381</v>
      </c>
      <c r="B24" s="33" t="n">
        <f aca="false">'Ek-10'!M15</f>
        <v>11800000</v>
      </c>
      <c r="C24" s="6" t="s">
        <v>36</v>
      </c>
    </row>
    <row r="25" customFormat="false" ht="15" hidden="false" customHeight="true" outlineLevel="0" collapsed="false">
      <c r="A25" s="6" t="s">
        <v>382</v>
      </c>
      <c r="B25" s="33" t="n">
        <f aca="false">-('Ek-12'!D29+'Ek-12'!D30)</f>
        <v>-1600000</v>
      </c>
      <c r="C25" s="6" t="s">
        <v>42</v>
      </c>
    </row>
    <row r="26" customFormat="false" ht="23.25" hidden="false" customHeight="true" outlineLevel="0" collapsed="false">
      <c r="A26" s="6" t="s">
        <v>383</v>
      </c>
      <c r="B26" s="26" t="n">
        <v>-1000000</v>
      </c>
      <c r="C26" s="6" t="s">
        <v>384</v>
      </c>
    </row>
    <row r="27" customFormat="false" ht="15" hidden="false" customHeight="true" outlineLevel="0" collapsed="false">
      <c r="A27" s="31" t="s">
        <v>385</v>
      </c>
      <c r="B27" s="27" t="n">
        <f aca="false">SUM(B21:B26)</f>
        <v>33750000</v>
      </c>
    </row>
    <row r="28" customFormat="false" ht="15" hidden="false" customHeight="true" outlineLevel="0" collapsed="false">
      <c r="A28" s="6" t="s">
        <v>386</v>
      </c>
      <c r="B28" s="26" t="n">
        <v>33750000</v>
      </c>
    </row>
    <row r="29" customFormat="false" ht="15" hidden="false" customHeight="true" outlineLevel="0" collapsed="false">
      <c r="A29" s="5" t="s">
        <v>387</v>
      </c>
      <c r="B29" s="12" t="str">
        <f aca="false">IF(ROUND(B27-B28,0)=0,"Uyumlu","Fark var – kalemleri kontrol edin")</f>
        <v>Uyumlu</v>
      </c>
    </row>
    <row r="30" customFormat="false" ht="30" hidden="false" customHeight="true" outlineLevel="0" collapsed="false">
      <c r="A30" s="17" t="s">
        <v>388</v>
      </c>
      <c r="B30" s="17"/>
      <c r="C30" s="17"/>
      <c r="D30" s="17"/>
      <c r="E30" s="17"/>
      <c r="F30" s="17"/>
      <c r="G30" s="17"/>
    </row>
  </sheetData>
  <mergeCells count="4">
    <mergeCell ref="A15:F15"/>
    <mergeCell ref="A16:F16"/>
    <mergeCell ref="A17:G17"/>
    <mergeCell ref="A30:G30"/>
  </mergeCells>
  <conditionalFormatting sqref="J13">
    <cfRule type="expression" priority="2" aboveAverage="0" equalAverage="0" bottom="0" percent="0" rank="0" text="" dxfId="0">
      <formula>OR(LEFT(J13,6)="Uyumlu",LEFT(J13,5)="Tamam",LEFT(J13,5)="Uygun")</formula>
    </cfRule>
    <cfRule type="expression" priority="3" aboveAverage="0" equalAverage="0" bottom="0" percent="0" rank="0" text="" dxfId="1">
      <formula>NOT(OR(LEFT(J13,6)="Uyumlu",LEFT(J13,5)="Tamam",LEFT(J13,5)="Uygun",J13=""))</formula>
    </cfRule>
  </conditionalFormatting>
  <conditionalFormatting sqref="G16">
    <cfRule type="expression" priority="4" aboveAverage="0" equalAverage="0" bottom="0" percent="0" rank="0" text="" dxfId="0">
      <formula>OR(LEFT(G16,6)="Uyumlu",LEFT(G16,5)="Tamam",LEFT(G16,5)="Uygun")</formula>
    </cfRule>
    <cfRule type="expression" priority="5" aboveAverage="0" equalAverage="0" bottom="0" percent="0" rank="0" text="" dxfId="1">
      <formula>NOT(OR(LEFT(G16,6)="Uyumlu",LEFT(G16,5)="Tamam",LEFT(G16,5)="Uygun",G16=""))</formula>
    </cfRule>
  </conditionalFormatting>
  <conditionalFormatting sqref="B29">
    <cfRule type="expression" priority="6" aboveAverage="0" equalAverage="0" bottom="0" percent="0" rank="0" text="" dxfId="0">
      <formula>OR(LEFT(B29,6)="Uyumlu",LEFT(B29,5)="Tamam",LEFT(B29,5)="Uygun")</formula>
    </cfRule>
    <cfRule type="expression" priority="7" aboveAverage="0" equalAverage="0" bottom="0" percent="0" rank="0" text="" dxfId="1">
      <formula>NOT(OR(LEFT(B29,6)="Uyumlu",LEFT(B29,5)="Tamam",LEFT(B29,5)="Uygun",B29=""))</formula>
    </cfRule>
  </conditionalFormatting>
  <dataValidations count="1">
    <dataValidation allowBlank="false" errorStyle="stop" operator="between" showDropDown="false" showErrorMessage="false" showInputMessage="false" sqref="J5" type="list">
      <formula1>"Hasılat oranı,Özel oran"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11"/>
    <col collapsed="false" customWidth="true" hidden="false" outlineLevel="0" max="3" min="3" style="1" width="20"/>
    <col collapsed="false" customWidth="true" hidden="false" outlineLevel="0" max="4" min="4" style="1" width="10"/>
    <col collapsed="false" customWidth="true" hidden="false" outlineLevel="0" max="5" min="5" style="1" width="18"/>
    <col collapsed="false" customWidth="true" hidden="false" outlineLevel="0" max="6" min="6" style="1" width="10"/>
    <col collapsed="false" customWidth="true" hidden="false" outlineLevel="0" max="7" min="7" style="1" width="8"/>
    <col collapsed="false" customWidth="true" hidden="false" outlineLevel="0" max="8" min="8" style="1" width="13"/>
    <col collapsed="false" customWidth="true" hidden="false" outlineLevel="0" max="9" min="9" style="1" width="9"/>
    <col collapsed="false" customWidth="true" hidden="false" outlineLevel="0" max="10" min="10" style="1" width="14"/>
    <col collapsed="false" customWidth="true" hidden="false" outlineLevel="0" max="11" min="11" style="1" width="11"/>
    <col collapsed="false" customWidth="true" hidden="false" outlineLevel="0" max="12" min="12" style="1" width="13"/>
    <col collapsed="false" customWidth="true" hidden="false" outlineLevel="0" max="14" min="13" style="1" width="12"/>
    <col collapsed="false" customWidth="true" hidden="false" outlineLevel="0" max="15" min="15" style="1" width="11"/>
  </cols>
  <sheetData>
    <row r="1" customFormat="false" ht="17.25" hidden="false" customHeight="true" outlineLevel="0" collapsed="false">
      <c r="A1" s="18" t="s">
        <v>389</v>
      </c>
    </row>
    <row r="2" customFormat="false" ht="15" hidden="false" customHeight="true" outlineLevel="0" collapsed="false">
      <c r="A2" s="19" t="s">
        <v>390</v>
      </c>
    </row>
    <row r="3" customFormat="false" ht="15" hidden="false" customHeight="true" outlineLevel="0" collapsed="false">
      <c r="A3" s="20" t="s">
        <v>73</v>
      </c>
    </row>
    <row r="5" customFormat="false" ht="15" hidden="false" customHeight="true" outlineLevel="0" collapsed="false">
      <c r="A5" s="8" t="s">
        <v>391</v>
      </c>
      <c r="B5" s="9"/>
      <c r="C5" s="9"/>
      <c r="D5" s="9"/>
      <c r="E5" s="9"/>
      <c r="F5" s="9"/>
      <c r="G5" s="9"/>
      <c r="H5" s="9"/>
      <c r="I5" s="9"/>
      <c r="J5" s="9"/>
      <c r="K5" s="9"/>
      <c r="L5" s="9"/>
      <c r="M5" s="9"/>
      <c r="N5" s="9"/>
      <c r="O5" s="9"/>
    </row>
    <row r="6" customFormat="false" ht="42" hidden="false" customHeight="true" outlineLevel="0" collapsed="false">
      <c r="A6" s="4" t="s">
        <v>392</v>
      </c>
      <c r="B6" s="4" t="s">
        <v>393</v>
      </c>
      <c r="C6" s="4" t="s">
        <v>394</v>
      </c>
      <c r="D6" s="4" t="s">
        <v>395</v>
      </c>
      <c r="E6" s="4" t="s">
        <v>396</v>
      </c>
      <c r="F6" s="4" t="s">
        <v>397</v>
      </c>
      <c r="G6" s="4" t="s">
        <v>398</v>
      </c>
      <c r="H6" s="4" t="s">
        <v>399</v>
      </c>
      <c r="I6" s="4" t="s">
        <v>400</v>
      </c>
      <c r="J6" s="4" t="s">
        <v>401</v>
      </c>
      <c r="K6" s="4" t="s">
        <v>402</v>
      </c>
      <c r="L6" s="4" t="s">
        <v>403</v>
      </c>
      <c r="M6" s="4" t="s">
        <v>404</v>
      </c>
      <c r="N6" s="4" t="s">
        <v>405</v>
      </c>
      <c r="O6" s="4" t="s">
        <v>247</v>
      </c>
    </row>
    <row r="7" customFormat="false" ht="15" hidden="false" customHeight="true" outlineLevel="0" collapsed="false">
      <c r="A7" s="28" t="s">
        <v>406</v>
      </c>
      <c r="B7" s="29" t="n">
        <v>46203</v>
      </c>
      <c r="C7" s="28" t="s">
        <v>407</v>
      </c>
      <c r="D7" s="28" t="s">
        <v>408</v>
      </c>
      <c r="E7" s="28" t="s">
        <v>409</v>
      </c>
      <c r="F7" s="28" t="s">
        <v>251</v>
      </c>
      <c r="G7" s="28" t="s">
        <v>410</v>
      </c>
      <c r="H7" s="35" t="n">
        <v>140000</v>
      </c>
      <c r="I7" s="36" t="n">
        <v>50</v>
      </c>
      <c r="J7" s="33" t="n">
        <f aca="false">IF(H7="","",H7*I7)</f>
        <v>7000000</v>
      </c>
      <c r="K7" s="29" t="n">
        <v>46248</v>
      </c>
      <c r="L7" s="35" t="n">
        <v>140000</v>
      </c>
      <c r="M7" s="28" t="s">
        <v>251</v>
      </c>
      <c r="N7" s="37" t="n">
        <f aca="false">IF(H7="","",H7-N(L7))</f>
        <v>0</v>
      </c>
      <c r="O7" s="22" t="str">
        <f aca="false">IF(H7="","",IF(AND(F7="E",N7&lt;=0,M7="E",K7&lt;&gt;"",K7&lt;=$D$35),"Tamam","Eksik"))</f>
        <v>Tamam</v>
      </c>
    </row>
    <row r="8" customFormat="false" ht="15" hidden="false" customHeight="true" outlineLevel="0" collapsed="false">
      <c r="A8" s="28" t="s">
        <v>411</v>
      </c>
      <c r="B8" s="29" t="n">
        <v>46356</v>
      </c>
      <c r="C8" s="28" t="s">
        <v>412</v>
      </c>
      <c r="D8" s="28" t="s">
        <v>413</v>
      </c>
      <c r="E8" s="28" t="s">
        <v>414</v>
      </c>
      <c r="F8" s="28" t="s">
        <v>251</v>
      </c>
      <c r="G8" s="28" t="s">
        <v>410</v>
      </c>
      <c r="H8" s="35" t="n">
        <v>100000</v>
      </c>
      <c r="I8" s="36" t="n">
        <v>50</v>
      </c>
      <c r="J8" s="33" t="n">
        <f aca="false">IF(H8="","",H8*I8)</f>
        <v>5000000</v>
      </c>
      <c r="K8" s="29" t="n">
        <v>46407</v>
      </c>
      <c r="L8" s="35" t="n">
        <v>100000</v>
      </c>
      <c r="M8" s="28" t="s">
        <v>251</v>
      </c>
      <c r="N8" s="37" t="n">
        <f aca="false">IF(H8="","",H8-N(L8))</f>
        <v>0</v>
      </c>
      <c r="O8" s="22" t="str">
        <f aca="false">IF(H8="","",IF(AND(F8="E",N8&lt;=0,M8="E",K8&lt;&gt;"",K8&lt;=$D$35),"Tamam","Eksik"))</f>
        <v>Tamam</v>
      </c>
    </row>
    <row r="9" customFormat="false" ht="15" hidden="false" customHeight="true" outlineLevel="0" collapsed="false">
      <c r="A9" s="28"/>
      <c r="B9" s="29"/>
      <c r="C9" s="28"/>
      <c r="D9" s="28"/>
      <c r="E9" s="28"/>
      <c r="F9" s="28"/>
      <c r="G9" s="28"/>
      <c r="H9" s="35"/>
      <c r="I9" s="36"/>
      <c r="J9" s="33" t="str">
        <f aca="false">IF(H9="","",H9*I9)</f>
        <v/>
      </c>
      <c r="K9" s="29"/>
      <c r="L9" s="35"/>
      <c r="M9" s="28"/>
      <c r="N9" s="37" t="str">
        <f aca="false">IF(H9="","",H9-N(L9))</f>
        <v/>
      </c>
      <c r="O9" s="22" t="str">
        <f aca="false">IF(H9="","",IF(AND(F9="E",N9&lt;=0,M9="E",K9&lt;&gt;"",K9&lt;=$D$35),"Tamam","Eksik"))</f>
        <v/>
      </c>
    </row>
    <row r="10" customFormat="false" ht="15" hidden="false" customHeight="true" outlineLevel="0" collapsed="false">
      <c r="A10" s="28"/>
      <c r="B10" s="29"/>
      <c r="C10" s="28"/>
      <c r="D10" s="28"/>
      <c r="E10" s="28"/>
      <c r="F10" s="28"/>
      <c r="G10" s="28"/>
      <c r="H10" s="35"/>
      <c r="I10" s="36"/>
      <c r="J10" s="33" t="str">
        <f aca="false">IF(H10="","",H10*I10)</f>
        <v/>
      </c>
      <c r="K10" s="29"/>
      <c r="L10" s="35"/>
      <c r="M10" s="28"/>
      <c r="N10" s="37" t="str">
        <f aca="false">IF(H10="","",H10-N(L10))</f>
        <v/>
      </c>
      <c r="O10" s="22" t="str">
        <f aca="false">IF(H10="","",IF(AND(F10="E",N10&lt;=0,M10="E",K10&lt;&gt;"",K10&lt;=$D$35),"Tamam","Eksik"))</f>
        <v/>
      </c>
    </row>
    <row r="11" customFormat="false" ht="15" hidden="false" customHeight="true" outlineLevel="0" collapsed="false">
      <c r="A11" s="28"/>
      <c r="B11" s="29"/>
      <c r="C11" s="28"/>
      <c r="D11" s="28"/>
      <c r="E11" s="28"/>
      <c r="F11" s="28"/>
      <c r="G11" s="28"/>
      <c r="H11" s="35"/>
      <c r="I11" s="36"/>
      <c r="J11" s="33" t="str">
        <f aca="false">IF(H11="","",H11*I11)</f>
        <v/>
      </c>
      <c r="K11" s="29"/>
      <c r="L11" s="35"/>
      <c r="M11" s="28"/>
      <c r="N11" s="37" t="str">
        <f aca="false">IF(H11="","",H11-N(L11))</f>
        <v/>
      </c>
      <c r="O11" s="22" t="str">
        <f aca="false">IF(H11="","",IF(AND(F11="E",N11&lt;=0,M11="E",K11&lt;&gt;"",K11&lt;=$D$35),"Tamam","Eksik"))</f>
        <v/>
      </c>
    </row>
    <row r="12" customFormat="false" ht="15" hidden="false" customHeight="true" outlineLevel="0" collapsed="false">
      <c r="A12" s="28"/>
      <c r="B12" s="29"/>
      <c r="C12" s="28"/>
      <c r="D12" s="28"/>
      <c r="E12" s="28"/>
      <c r="F12" s="28"/>
      <c r="G12" s="28"/>
      <c r="H12" s="35"/>
      <c r="I12" s="36"/>
      <c r="J12" s="33" t="str">
        <f aca="false">IF(H12="","",H12*I12)</f>
        <v/>
      </c>
      <c r="K12" s="29"/>
      <c r="L12" s="35"/>
      <c r="M12" s="28"/>
      <c r="N12" s="37" t="str">
        <f aca="false">IF(H12="","",H12-N(L12))</f>
        <v/>
      </c>
      <c r="O12" s="22" t="str">
        <f aca="false">IF(H12="","",IF(AND(F12="E",N12&lt;=0,M12="E",K12&lt;&gt;"",K12&lt;=$D$35),"Tamam","Eksik"))</f>
        <v/>
      </c>
    </row>
    <row r="13" customFormat="false" ht="15" hidden="false" customHeight="true" outlineLevel="0" collapsed="false">
      <c r="A13" s="28"/>
      <c r="B13" s="29"/>
      <c r="C13" s="28"/>
      <c r="D13" s="28"/>
      <c r="E13" s="28"/>
      <c r="F13" s="28"/>
      <c r="G13" s="28"/>
      <c r="H13" s="35"/>
      <c r="I13" s="36"/>
      <c r="J13" s="33" t="str">
        <f aca="false">IF(H13="","",H13*I13)</f>
        <v/>
      </c>
      <c r="K13" s="29"/>
      <c r="L13" s="35"/>
      <c r="M13" s="28"/>
      <c r="N13" s="37" t="str">
        <f aca="false">IF(H13="","",H13-N(L13))</f>
        <v/>
      </c>
      <c r="O13" s="22" t="str">
        <f aca="false">IF(H13="","",IF(AND(F13="E",N13&lt;=0,M13="E",K13&lt;&gt;"",K13&lt;=$D$35),"Tamam","Eksik"))</f>
        <v/>
      </c>
    </row>
    <row r="14" customFormat="false" ht="15" hidden="false" customHeight="true" outlineLevel="0" collapsed="false">
      <c r="A14" s="28"/>
      <c r="B14" s="29"/>
      <c r="C14" s="28"/>
      <c r="D14" s="28"/>
      <c r="E14" s="28"/>
      <c r="F14" s="28"/>
      <c r="G14" s="28"/>
      <c r="H14" s="35"/>
      <c r="I14" s="36"/>
      <c r="J14" s="33" t="str">
        <f aca="false">IF(H14="","",H14*I14)</f>
        <v/>
      </c>
      <c r="K14" s="29"/>
      <c r="L14" s="35"/>
      <c r="M14" s="28"/>
      <c r="N14" s="37" t="str">
        <f aca="false">IF(H14="","",H14-N(L14))</f>
        <v/>
      </c>
      <c r="O14" s="22" t="str">
        <f aca="false">IF(H14="","",IF(AND(F14="E",N14&lt;=0,M14="E",K14&lt;&gt;"",K14&lt;=$D$35),"Tamam","Eksik"))</f>
        <v/>
      </c>
    </row>
    <row r="15" customFormat="false" ht="15" hidden="false" customHeight="true" outlineLevel="0" collapsed="false">
      <c r="A15" s="28"/>
      <c r="B15" s="29"/>
      <c r="C15" s="28"/>
      <c r="D15" s="28"/>
      <c r="E15" s="28"/>
      <c r="F15" s="28"/>
      <c r="G15" s="28"/>
      <c r="H15" s="35"/>
      <c r="I15" s="36"/>
      <c r="J15" s="33" t="str">
        <f aca="false">IF(H15="","",H15*I15)</f>
        <v/>
      </c>
      <c r="K15" s="29"/>
      <c r="L15" s="35"/>
      <c r="M15" s="28"/>
      <c r="N15" s="37" t="str">
        <f aca="false">IF(H15="","",H15-N(L15))</f>
        <v/>
      </c>
      <c r="O15" s="22" t="str">
        <f aca="false">IF(H15="","",IF(AND(F15="E",N15&lt;=0,M15="E",K15&lt;&gt;"",K15&lt;=$D$35),"Tamam","Eksik"))</f>
        <v/>
      </c>
    </row>
    <row r="16" customFormat="false" ht="15" hidden="false" customHeight="true" outlineLevel="0" collapsed="false">
      <c r="A16" s="28"/>
      <c r="B16" s="29"/>
      <c r="C16" s="28"/>
      <c r="D16" s="28"/>
      <c r="E16" s="28"/>
      <c r="F16" s="28"/>
      <c r="G16" s="28"/>
      <c r="H16" s="35"/>
      <c r="I16" s="36"/>
      <c r="J16" s="33" t="str">
        <f aca="false">IF(H16="","",H16*I16)</f>
        <v/>
      </c>
      <c r="K16" s="29"/>
      <c r="L16" s="35"/>
      <c r="M16" s="28"/>
      <c r="N16" s="37" t="str">
        <f aca="false">IF(H16="","",H16-N(L16))</f>
        <v/>
      </c>
      <c r="O16" s="22" t="str">
        <f aca="false">IF(H16="","",IF(AND(F16="E",N16&lt;=0,M16="E",K16&lt;&gt;"",K16&lt;=$D$35),"Tamam","Eksik"))</f>
        <v/>
      </c>
    </row>
    <row r="17" customFormat="false" ht="15" hidden="false" customHeight="true" outlineLevel="0" collapsed="false">
      <c r="A17" s="28"/>
      <c r="B17" s="29"/>
      <c r="C17" s="28"/>
      <c r="D17" s="28"/>
      <c r="E17" s="28"/>
      <c r="F17" s="28"/>
      <c r="G17" s="28"/>
      <c r="H17" s="35"/>
      <c r="I17" s="36"/>
      <c r="J17" s="33" t="str">
        <f aca="false">IF(H17="","",H17*I17)</f>
        <v/>
      </c>
      <c r="K17" s="29"/>
      <c r="L17" s="35"/>
      <c r="M17" s="28"/>
      <c r="N17" s="37" t="str">
        <f aca="false">IF(H17="","",H17-N(L17))</f>
        <v/>
      </c>
      <c r="O17" s="22" t="str">
        <f aca="false">IF(H17="","",IF(AND(F17="E",N17&lt;=0,M17="E",K17&lt;&gt;"",K17&lt;=$D$35),"Tamam","Eksik"))</f>
        <v/>
      </c>
    </row>
    <row r="18" customFormat="false" ht="15" hidden="false" customHeight="true" outlineLevel="0" collapsed="false">
      <c r="A18" s="28"/>
      <c r="B18" s="29"/>
      <c r="C18" s="28"/>
      <c r="D18" s="28"/>
      <c r="E18" s="28"/>
      <c r="F18" s="28"/>
      <c r="G18" s="28"/>
      <c r="H18" s="35"/>
      <c r="I18" s="36"/>
      <c r="J18" s="33" t="str">
        <f aca="false">IF(H18="","",H18*I18)</f>
        <v/>
      </c>
      <c r="K18" s="29"/>
      <c r="L18" s="35"/>
      <c r="M18" s="28"/>
      <c r="N18" s="37" t="str">
        <f aca="false">IF(H18="","",H18-N(L18))</f>
        <v/>
      </c>
      <c r="O18" s="22" t="str">
        <f aca="false">IF(H18="","",IF(AND(F18="E",N18&lt;=0,M18="E",K18&lt;&gt;"",K18&lt;=$D$35),"Tamam","Eksik"))</f>
        <v/>
      </c>
    </row>
    <row r="19" customFormat="false" ht="15" hidden="false" customHeight="true" outlineLevel="0" collapsed="false">
      <c r="A19" s="28"/>
      <c r="B19" s="29"/>
      <c r="C19" s="28"/>
      <c r="D19" s="28"/>
      <c r="E19" s="28"/>
      <c r="F19" s="28"/>
      <c r="G19" s="28"/>
      <c r="H19" s="35"/>
      <c r="I19" s="36"/>
      <c r="J19" s="33" t="str">
        <f aca="false">IF(H19="","",H19*I19)</f>
        <v/>
      </c>
      <c r="K19" s="29"/>
      <c r="L19" s="35"/>
      <c r="M19" s="28"/>
      <c r="N19" s="37" t="str">
        <f aca="false">IF(H19="","",H19-N(L19))</f>
        <v/>
      </c>
      <c r="O19" s="22" t="str">
        <f aca="false">IF(H19="","",IF(AND(F19="E",N19&lt;=0,M19="E",K19&lt;&gt;"",K19&lt;=$D$35),"Tamam","Eksik"))</f>
        <v/>
      </c>
    </row>
    <row r="20" customFormat="false" ht="15" hidden="false" customHeight="true" outlineLevel="0" collapsed="false">
      <c r="A20" s="28"/>
      <c r="B20" s="29"/>
      <c r="C20" s="28"/>
      <c r="D20" s="28"/>
      <c r="E20" s="28"/>
      <c r="F20" s="28"/>
      <c r="G20" s="28"/>
      <c r="H20" s="35"/>
      <c r="I20" s="36"/>
      <c r="J20" s="33" t="str">
        <f aca="false">IF(H20="","",H20*I20)</f>
        <v/>
      </c>
      <c r="K20" s="29"/>
      <c r="L20" s="35"/>
      <c r="M20" s="28"/>
      <c r="N20" s="37" t="str">
        <f aca="false">IF(H20="","",H20-N(L20))</f>
        <v/>
      </c>
      <c r="O20" s="22" t="str">
        <f aca="false">IF(H20="","",IF(AND(F20="E",N20&lt;=0,M20="E",K20&lt;&gt;"",K20&lt;=$D$35),"Tamam","Eksik"))</f>
        <v/>
      </c>
    </row>
    <row r="21" customFormat="false" ht="15" hidden="false" customHeight="true" outlineLevel="0" collapsed="false">
      <c r="A21" s="28"/>
      <c r="B21" s="29"/>
      <c r="C21" s="28"/>
      <c r="D21" s="28"/>
      <c r="E21" s="28"/>
      <c r="F21" s="28"/>
      <c r="G21" s="28"/>
      <c r="H21" s="35"/>
      <c r="I21" s="36"/>
      <c r="J21" s="33" t="str">
        <f aca="false">IF(H21="","",H21*I21)</f>
        <v/>
      </c>
      <c r="K21" s="29"/>
      <c r="L21" s="35"/>
      <c r="M21" s="28"/>
      <c r="N21" s="37" t="str">
        <f aca="false">IF(H21="","",H21-N(L21))</f>
        <v/>
      </c>
      <c r="O21" s="22" t="str">
        <f aca="false">IF(H21="","",IF(AND(F21="E",N21&lt;=0,M21="E",K21&lt;&gt;"",K21&lt;=$D$35),"Tamam","Eksik"))</f>
        <v/>
      </c>
    </row>
    <row r="22" customFormat="false" ht="15" hidden="false" customHeight="true" outlineLevel="0" collapsed="false">
      <c r="I22" s="31" t="s">
        <v>173</v>
      </c>
      <c r="J22" s="27" t="n">
        <f aca="false">SUM(J7:J21)</f>
        <v>12000000</v>
      </c>
    </row>
    <row r="23" customFormat="false" ht="15" hidden="false" customHeight="true" outlineLevel="0" collapsed="false">
      <c r="I23" s="31" t="s">
        <v>415</v>
      </c>
      <c r="J23" s="38" t="n">
        <f aca="false">COUNTIF(O7:O21,"Eksik")</f>
        <v>0</v>
      </c>
    </row>
    <row r="25" customFormat="false" ht="15" hidden="false" customHeight="true" outlineLevel="0" collapsed="false">
      <c r="A25" s="8" t="s">
        <v>416</v>
      </c>
      <c r="B25" s="9"/>
      <c r="C25" s="9"/>
      <c r="D25" s="9"/>
      <c r="E25" s="9"/>
      <c r="F25" s="9"/>
      <c r="G25" s="9"/>
      <c r="H25" s="9"/>
      <c r="I25" s="9"/>
      <c r="J25" s="9"/>
      <c r="K25" s="9"/>
      <c r="L25" s="9"/>
      <c r="M25" s="9"/>
      <c r="N25" s="9"/>
      <c r="O25" s="9"/>
    </row>
    <row r="26" customFormat="false" ht="23.25" hidden="false" customHeight="true" outlineLevel="0" collapsed="false">
      <c r="A26" s="5" t="s">
        <v>417</v>
      </c>
      <c r="B26" s="5"/>
      <c r="C26" s="5"/>
      <c r="D26" s="27" t="n">
        <f aca="false">'Ek-3'!B13</f>
        <v>5600000</v>
      </c>
    </row>
    <row r="27" customFormat="false" ht="15" hidden="false" customHeight="true" outlineLevel="0" collapsed="false">
      <c r="A27" s="5" t="s">
        <v>418</v>
      </c>
      <c r="B27" s="5"/>
      <c r="C27" s="5"/>
      <c r="D27" s="27" t="n">
        <f aca="false">J22</f>
        <v>12000000</v>
      </c>
    </row>
    <row r="28" customFormat="false" ht="15" hidden="false" customHeight="true" outlineLevel="0" collapsed="false">
      <c r="A28" s="5" t="s">
        <v>419</v>
      </c>
      <c r="B28" s="5"/>
      <c r="C28" s="5"/>
      <c r="D28" s="27" t="n">
        <f aca="false">'Ek-3'!B6</f>
        <v>12000000</v>
      </c>
    </row>
    <row r="29" customFormat="false" ht="15" hidden="false" customHeight="true" outlineLevel="0" collapsed="false">
      <c r="A29" s="5" t="s">
        <v>420</v>
      </c>
      <c r="B29" s="5"/>
      <c r="C29" s="5"/>
      <c r="D29" s="12" t="str">
        <f aca="false">IF(ROUND(D27-D28,0)=0,"Uyumlu","Fark var – kontrol edin")</f>
        <v>Uyumlu</v>
      </c>
      <c r="E29" s="12"/>
      <c r="F29" s="12"/>
      <c r="G29" s="12"/>
      <c r="H29" s="12"/>
      <c r="I29" s="12"/>
      <c r="J29" s="12"/>
    </row>
    <row r="30" customFormat="false" ht="23.25" hidden="false" customHeight="true" outlineLevel="0" collapsed="false">
      <c r="A30" s="5" t="s">
        <v>421</v>
      </c>
      <c r="B30" s="5"/>
      <c r="C30" s="5"/>
      <c r="D30" s="38" t="n">
        <f aca="false">J23</f>
        <v>0</v>
      </c>
    </row>
    <row r="31" customFormat="false" ht="15" hidden="false" customHeight="true" outlineLevel="0" collapsed="false">
      <c r="A31" s="5" t="s">
        <v>422</v>
      </c>
      <c r="B31" s="5"/>
      <c r="C31" s="5"/>
      <c r="D31" s="12" t="str">
        <f aca="false">IF(D30=0,"Tamam – tüm kazanç süresinde Türkiye’ye transfer edildi","Eksik – kazancın tamamı için indirim kaybedilir")</f>
        <v>Tamam – tüm kazanç süresinde Türkiye’ye transfer edildi</v>
      </c>
      <c r="E31" s="12"/>
      <c r="F31" s="12"/>
      <c r="G31" s="12"/>
      <c r="H31" s="12"/>
      <c r="I31" s="12"/>
      <c r="J31" s="12"/>
    </row>
    <row r="32" customFormat="false" ht="15" hidden="false" customHeight="true" outlineLevel="0" collapsed="false">
      <c r="A32" s="5" t="s">
        <v>423</v>
      </c>
      <c r="B32" s="5"/>
      <c r="C32" s="5"/>
      <c r="D32" s="34" t="n">
        <f aca="false">Parametreler!D30</f>
        <v>1</v>
      </c>
    </row>
    <row r="33" customFormat="false" ht="15" hidden="false" customHeight="true" outlineLevel="0" collapsed="false">
      <c r="A33" s="5" t="s">
        <v>424</v>
      </c>
      <c r="B33" s="5"/>
      <c r="C33" s="5"/>
      <c r="D33" s="27" t="n">
        <f aca="false">IF(AND(D30=0,COUNT(J7:J21)&gt;0),MAX(0,D26)*D32,0)</f>
        <v>5600000</v>
      </c>
    </row>
    <row r="34" customFormat="false" ht="15" hidden="false" customHeight="true" outlineLevel="0" collapsed="false">
      <c r="A34" s="5" t="s">
        <v>425</v>
      </c>
      <c r="B34" s="5"/>
      <c r="C34" s="5"/>
      <c r="D34" s="12" t="str">
        <f aca="false">Parametreler!D7</f>
        <v>KV</v>
      </c>
      <c r="E34" s="12"/>
      <c r="F34" s="12"/>
      <c r="G34" s="12"/>
      <c r="H34" s="12"/>
      <c r="I34" s="12"/>
      <c r="J34" s="12"/>
    </row>
    <row r="35" customFormat="false" ht="23.25" hidden="false" customHeight="true" outlineLevel="0" collapsed="false">
      <c r="A35" s="5" t="s">
        <v>426</v>
      </c>
      <c r="B35" s="5"/>
      <c r="C35" s="5"/>
      <c r="D35" s="39" t="n">
        <f aca="false">Parametreler!D12</f>
        <v>46507</v>
      </c>
    </row>
    <row r="36" customFormat="false" ht="15" hidden="false" customHeight="true" outlineLevel="0" collapsed="false">
      <c r="A36" s="5" t="s">
        <v>427</v>
      </c>
      <c r="B36" s="5"/>
      <c r="C36" s="5"/>
      <c r="D36" s="12" t="str">
        <f aca="false">IF(D34="KV","Bu indirim asgari kurumlar vergisi matrahından düşülemez (Ek-13)","Gelir vergisinde asgari vergi uygulanmaz")</f>
        <v>Bu indirim asgari kurumlar vergisi matrahından düşülemez (Ek-13)</v>
      </c>
      <c r="E36" s="12"/>
      <c r="F36" s="12"/>
      <c r="G36" s="12"/>
      <c r="H36" s="12"/>
      <c r="I36" s="12"/>
      <c r="J36" s="12"/>
    </row>
    <row r="37" customFormat="false" ht="43.5" hidden="false" customHeight="true" outlineLevel="0" collapsed="false">
      <c r="A37" s="17" t="s">
        <v>428</v>
      </c>
      <c r="B37" s="17"/>
      <c r="C37" s="17"/>
      <c r="D37" s="17"/>
      <c r="E37" s="17"/>
      <c r="F37" s="17"/>
      <c r="G37" s="17"/>
      <c r="H37" s="17"/>
      <c r="I37" s="17"/>
      <c r="J37" s="17"/>
      <c r="K37" s="17"/>
      <c r="L37" s="17"/>
      <c r="M37" s="17"/>
      <c r="N37" s="17"/>
      <c r="O37" s="17"/>
    </row>
    <row r="39" customFormat="false" ht="15" hidden="false" customHeight="true" outlineLevel="0" collapsed="false">
      <c r="A39" s="8" t="s">
        <v>429</v>
      </c>
      <c r="B39" s="9"/>
      <c r="C39" s="9"/>
      <c r="D39" s="9"/>
      <c r="E39" s="9"/>
      <c r="F39" s="9"/>
      <c r="G39" s="9"/>
      <c r="H39" s="9"/>
      <c r="I39" s="9"/>
      <c r="J39" s="9"/>
      <c r="K39" s="9"/>
      <c r="L39" s="9"/>
      <c r="M39" s="9"/>
      <c r="N39" s="9"/>
      <c r="O39" s="9"/>
    </row>
    <row r="40" customFormat="false" ht="42" hidden="false" customHeight="true" outlineLevel="0" collapsed="false">
      <c r="A40" s="4" t="s">
        <v>199</v>
      </c>
      <c r="B40" s="4" t="s">
        <v>430</v>
      </c>
      <c r="C40" s="4" t="s">
        <v>431</v>
      </c>
      <c r="D40" s="4" t="s">
        <v>395</v>
      </c>
      <c r="E40" s="4" t="s">
        <v>432</v>
      </c>
      <c r="F40" s="4" t="s">
        <v>398</v>
      </c>
      <c r="G40" s="4" t="s">
        <v>433</v>
      </c>
      <c r="H40" s="4" t="s">
        <v>434</v>
      </c>
      <c r="I40" s="4"/>
      <c r="J40" s="4"/>
      <c r="K40" s="4"/>
      <c r="L40" s="4"/>
      <c r="M40" s="4"/>
      <c r="N40" s="4"/>
      <c r="O40" s="4"/>
    </row>
    <row r="41" customFormat="false" ht="15" hidden="false" customHeight="true" outlineLevel="0" collapsed="false">
      <c r="A41" s="29" t="n">
        <v>46248</v>
      </c>
      <c r="B41" s="28" t="s">
        <v>435</v>
      </c>
      <c r="C41" s="28" t="s">
        <v>407</v>
      </c>
      <c r="D41" s="28" t="s">
        <v>408</v>
      </c>
      <c r="E41" s="28" t="s">
        <v>436</v>
      </c>
      <c r="F41" s="28" t="s">
        <v>410</v>
      </c>
      <c r="G41" s="35" t="n">
        <v>140000</v>
      </c>
      <c r="H41" s="28" t="s">
        <v>406</v>
      </c>
    </row>
    <row r="42" customFormat="false" ht="15" hidden="false" customHeight="true" outlineLevel="0" collapsed="false">
      <c r="A42" s="29" t="n">
        <v>46407</v>
      </c>
      <c r="B42" s="28" t="s">
        <v>435</v>
      </c>
      <c r="C42" s="28" t="s">
        <v>412</v>
      </c>
      <c r="D42" s="28" t="s">
        <v>413</v>
      </c>
      <c r="E42" s="28" t="s">
        <v>436</v>
      </c>
      <c r="F42" s="28" t="s">
        <v>410</v>
      </c>
      <c r="G42" s="35" t="n">
        <v>100000</v>
      </c>
      <c r="H42" s="28" t="s">
        <v>411</v>
      </c>
    </row>
    <row r="43" customFormat="false" ht="15" hidden="false" customHeight="true" outlineLevel="0" collapsed="false">
      <c r="A43" s="29"/>
      <c r="B43" s="28"/>
      <c r="C43" s="28"/>
      <c r="D43" s="28"/>
      <c r="E43" s="28"/>
      <c r="F43" s="28"/>
      <c r="G43" s="35"/>
      <c r="H43" s="28"/>
    </row>
    <row r="44" customFormat="false" ht="15" hidden="false" customHeight="true" outlineLevel="0" collapsed="false">
      <c r="A44" s="29"/>
      <c r="B44" s="28"/>
      <c r="C44" s="28"/>
      <c r="D44" s="28"/>
      <c r="E44" s="28"/>
      <c r="F44" s="28"/>
      <c r="G44" s="35"/>
      <c r="H44" s="28"/>
    </row>
    <row r="45" customFormat="false" ht="15" hidden="false" customHeight="true" outlineLevel="0" collapsed="false">
      <c r="A45" s="29"/>
      <c r="B45" s="28"/>
      <c r="C45" s="28"/>
      <c r="D45" s="28"/>
      <c r="E45" s="28"/>
      <c r="F45" s="28"/>
      <c r="G45" s="35"/>
      <c r="H45" s="28"/>
    </row>
    <row r="46" customFormat="false" ht="15" hidden="false" customHeight="true" outlineLevel="0" collapsed="false">
      <c r="A46" s="29"/>
      <c r="B46" s="28"/>
      <c r="C46" s="28"/>
      <c r="D46" s="28"/>
      <c r="E46" s="28"/>
      <c r="F46" s="28"/>
      <c r="G46" s="35"/>
      <c r="H46" s="28"/>
    </row>
    <row r="47" customFormat="false" ht="15" hidden="false" customHeight="true" outlineLevel="0" collapsed="false">
      <c r="A47" s="29"/>
      <c r="B47" s="28"/>
      <c r="C47" s="28"/>
      <c r="D47" s="28"/>
      <c r="E47" s="28"/>
      <c r="F47" s="28"/>
      <c r="G47" s="35"/>
      <c r="H47" s="28"/>
    </row>
    <row r="48" customFormat="false" ht="15" hidden="false" customHeight="true" outlineLevel="0" collapsed="false">
      <c r="A48" s="29"/>
      <c r="B48" s="28"/>
      <c r="C48" s="28"/>
      <c r="D48" s="28"/>
      <c r="E48" s="28"/>
      <c r="F48" s="28"/>
      <c r="G48" s="35"/>
      <c r="H48" s="28"/>
    </row>
    <row r="49" customFormat="false" ht="15" hidden="false" customHeight="true" outlineLevel="0" collapsed="false">
      <c r="A49" s="29"/>
      <c r="B49" s="28"/>
      <c r="C49" s="28"/>
      <c r="D49" s="28"/>
      <c r="E49" s="28"/>
      <c r="F49" s="28"/>
      <c r="G49" s="35"/>
      <c r="H49" s="28"/>
    </row>
    <row r="50" customFormat="false" ht="15" hidden="false" customHeight="true" outlineLevel="0" collapsed="false">
      <c r="A50" s="29"/>
      <c r="B50" s="28"/>
      <c r="C50" s="28"/>
      <c r="D50" s="28"/>
      <c r="E50" s="28"/>
      <c r="F50" s="28"/>
      <c r="G50" s="35"/>
      <c r="H50" s="28"/>
    </row>
    <row r="51" customFormat="false" ht="15" hidden="false" customHeight="true" outlineLevel="0" collapsed="false">
      <c r="A51" s="29"/>
      <c r="B51" s="28"/>
      <c r="C51" s="28"/>
      <c r="D51" s="28"/>
      <c r="E51" s="28"/>
      <c r="F51" s="28"/>
      <c r="G51" s="35"/>
      <c r="H51" s="28"/>
    </row>
    <row r="52" customFormat="false" ht="15" hidden="false" customHeight="true" outlineLevel="0" collapsed="false">
      <c r="A52" s="29"/>
      <c r="B52" s="28"/>
      <c r="C52" s="28"/>
      <c r="D52" s="28"/>
      <c r="E52" s="28"/>
      <c r="F52" s="28"/>
      <c r="G52" s="35"/>
      <c r="H52" s="28"/>
    </row>
    <row r="53" customFormat="false" ht="23.25" hidden="false" customHeight="true" outlineLevel="0" collapsed="false">
      <c r="F53" s="31" t="s">
        <v>437</v>
      </c>
      <c r="G53" s="40" t="n">
        <f aca="false">SUM(G41:G52)</f>
        <v>240000</v>
      </c>
    </row>
    <row r="54" customFormat="false" ht="23.25" hidden="false" customHeight="true" outlineLevel="0" collapsed="false">
      <c r="F54" s="31" t="s">
        <v>438</v>
      </c>
      <c r="G54" s="40" t="n">
        <f aca="false">SUM(H7:H21)</f>
        <v>240000</v>
      </c>
    </row>
    <row r="55" customFormat="false" ht="15" hidden="false" customHeight="true" outlineLevel="0" collapsed="false">
      <c r="F55" s="31" t="s">
        <v>368</v>
      </c>
      <c r="G55" s="12" t="str">
        <f aca="false">IF(ROUND(G54-G53,2)=0,"Uyumlu","Fark var")</f>
        <v>Uyumlu</v>
      </c>
    </row>
    <row r="56" customFormat="false" ht="30" hidden="false" customHeight="true" outlineLevel="0" collapsed="false">
      <c r="A56" s="17" t="s">
        <v>439</v>
      </c>
      <c r="B56" s="17"/>
      <c r="C56" s="17"/>
      <c r="D56" s="17"/>
      <c r="E56" s="17"/>
      <c r="F56" s="17"/>
      <c r="G56" s="17"/>
      <c r="H56" s="17"/>
      <c r="I56" s="17"/>
      <c r="J56" s="17"/>
      <c r="K56" s="17"/>
      <c r="L56" s="17"/>
      <c r="M56" s="17"/>
      <c r="N56" s="17"/>
      <c r="O56" s="17"/>
    </row>
  </sheetData>
  <mergeCells count="17">
    <mergeCell ref="A26:C26"/>
    <mergeCell ref="A27:C27"/>
    <mergeCell ref="A28:C28"/>
    <mergeCell ref="A29:C29"/>
    <mergeCell ref="D29:J29"/>
    <mergeCell ref="A30:C30"/>
    <mergeCell ref="A31:C31"/>
    <mergeCell ref="D31:J31"/>
    <mergeCell ref="A32:C32"/>
    <mergeCell ref="A33:C33"/>
    <mergeCell ref="A34:C34"/>
    <mergeCell ref="D34:J34"/>
    <mergeCell ref="A35:C35"/>
    <mergeCell ref="A36:C36"/>
    <mergeCell ref="D36:J36"/>
    <mergeCell ref="A37:O37"/>
    <mergeCell ref="A56:O56"/>
  </mergeCells>
  <conditionalFormatting sqref="D29">
    <cfRule type="expression" priority="2" aboveAverage="0" equalAverage="0" bottom="0" percent="0" rank="0" text="" dxfId="0">
      <formula>OR(LEFT(D29,6)="Uyumlu",LEFT(D29,5)="Tamam",LEFT(D29,5)="Uygun")</formula>
    </cfRule>
    <cfRule type="expression" priority="3" aboveAverage="0" equalAverage="0" bottom="0" percent="0" rank="0" text="" dxfId="1">
      <formula>NOT(OR(LEFT(D29,6)="Uyumlu",LEFT(D29,5)="Tamam",LEFT(D29,5)="Uygun",D29=""))</formula>
    </cfRule>
  </conditionalFormatting>
  <conditionalFormatting sqref="D31">
    <cfRule type="expression" priority="4" aboveAverage="0" equalAverage="0" bottom="0" percent="0" rank="0" text="" dxfId="0">
      <formula>OR(LEFT(D31,6)="Uyumlu",LEFT(D31,5)="Tamam",LEFT(D31,5)="Uygun")</formula>
    </cfRule>
    <cfRule type="expression" priority="5" aboveAverage="0" equalAverage="0" bottom="0" percent="0" rank="0" text="" dxfId="1">
      <formula>NOT(OR(LEFT(D31,6)="Uyumlu",LEFT(D31,5)="Tamam",LEFT(D31,5)="Uygun",D31=""))</formula>
    </cfRule>
  </conditionalFormatting>
  <conditionalFormatting sqref="G55">
    <cfRule type="expression" priority="6" aboveAverage="0" equalAverage="0" bottom="0" percent="0" rank="0" text="" dxfId="0">
      <formula>OR(LEFT(G55,6)="Uyumlu",LEFT(G55,5)="Tamam",LEFT(G55,5)="Uygun")</formula>
    </cfRule>
    <cfRule type="expression" priority="7" aboveAverage="0" equalAverage="0" bottom="0" percent="0" rank="0" text="" dxfId="1">
      <formula>NOT(OR(LEFT(G55,6)="Uyumlu",LEFT(G55,5)="Tamam",LEFT(G55,5)="Uygun",G55=""))</formula>
    </cfRule>
  </conditionalFormatting>
  <dataValidations count="2">
    <dataValidation allowBlank="true" errorStyle="stop" operator="between" showDropDown="false" showErrorMessage="false" showInputMessage="false" sqref="F7:F21" type="list">
      <formula1>"E,H"</formula1>
      <formula2>0</formula2>
    </dataValidation>
    <dataValidation allowBlank="true" errorStyle="stop" operator="between" showDropDown="false" showErrorMessage="false" showInputMessage="false" sqref="M7:M21"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3" min="2" style="1" width="4"/>
    <col collapsed="false" customWidth="true" hidden="false" outlineLevel="0" max="4" min="4" style="1" width="20"/>
    <col collapsed="false" customWidth="true" hidden="false" outlineLevel="0" max="5" min="5" style="1" width="30"/>
  </cols>
  <sheetData>
    <row r="1" customFormat="false" ht="17.25" hidden="false" customHeight="true" outlineLevel="0" collapsed="false">
      <c r="A1" s="18" t="s">
        <v>440</v>
      </c>
    </row>
    <row r="2" customFormat="false" ht="15" hidden="false" customHeight="true" outlineLevel="0" collapsed="false">
      <c r="A2" s="19" t="s">
        <v>441</v>
      </c>
    </row>
    <row r="3" customFormat="false" ht="15" hidden="false" customHeight="true" outlineLevel="0" collapsed="false">
      <c r="A3" s="20" t="s">
        <v>73</v>
      </c>
    </row>
    <row r="5" customFormat="false" ht="15" hidden="false" customHeight="true" outlineLevel="0" collapsed="false">
      <c r="A5" s="8" t="s">
        <v>442</v>
      </c>
      <c r="B5" s="9"/>
      <c r="C5" s="9"/>
      <c r="D5" s="9"/>
      <c r="E5" s="9"/>
    </row>
    <row r="6" customFormat="false" ht="15" hidden="false" customHeight="true" outlineLevel="0" collapsed="false">
      <c r="A6" s="6" t="s">
        <v>385</v>
      </c>
      <c r="B6" s="6"/>
      <c r="C6" s="6"/>
      <c r="D6" s="33" t="n">
        <f aca="false">'Ek-3'!B27</f>
        <v>33750000</v>
      </c>
      <c r="E6" s="24" t="s">
        <v>443</v>
      </c>
    </row>
    <row r="7" customFormat="false" ht="15" hidden="false" customHeight="true" outlineLevel="0" collapsed="false">
      <c r="A7" s="6" t="s">
        <v>444</v>
      </c>
      <c r="B7" s="6"/>
      <c r="C7" s="6"/>
      <c r="D7" s="33" t="n">
        <f aca="false">'Ek-14'!D23</f>
        <v>13064971.3333333</v>
      </c>
      <c r="E7" s="24" t="s">
        <v>48</v>
      </c>
    </row>
    <row r="8" customFormat="false" ht="15" hidden="false" customHeight="true" outlineLevel="0" collapsed="false">
      <c r="A8" s="6" t="s">
        <v>445</v>
      </c>
      <c r="B8" s="6"/>
      <c r="C8" s="6"/>
      <c r="D8" s="33" t="n">
        <f aca="false">'Ek-3'!C13</f>
        <v>6300000</v>
      </c>
      <c r="E8" s="24" t="s">
        <v>446</v>
      </c>
    </row>
    <row r="9" customFormat="false" ht="15" hidden="false" customHeight="true" outlineLevel="0" collapsed="false">
      <c r="A9" s="6" t="s">
        <v>447</v>
      </c>
      <c r="B9" s="6"/>
      <c r="C9" s="6"/>
      <c r="D9" s="26" t="n">
        <v>0</v>
      </c>
      <c r="E9" s="24" t="s">
        <v>448</v>
      </c>
    </row>
    <row r="10" customFormat="false" ht="15" hidden="false" customHeight="true" outlineLevel="0" collapsed="false">
      <c r="A10" s="6" t="s">
        <v>449</v>
      </c>
      <c r="B10" s="6"/>
      <c r="C10" s="6"/>
      <c r="D10" s="33" t="n">
        <f aca="false">'Ek-3'!D13</f>
        <v>5050000</v>
      </c>
      <c r="E10" s="24" t="s">
        <v>450</v>
      </c>
    </row>
    <row r="11" customFormat="false" ht="15" hidden="false" customHeight="true" outlineLevel="0" collapsed="false">
      <c r="A11" s="6" t="s">
        <v>451</v>
      </c>
      <c r="B11" s="6"/>
      <c r="C11" s="6"/>
      <c r="D11" s="30" t="n">
        <f aca="false">Parametreler!D8</f>
        <v>0.25</v>
      </c>
      <c r="E11" s="24" t="s">
        <v>6</v>
      </c>
    </row>
    <row r="12" customFormat="false" ht="15" hidden="false" customHeight="true" outlineLevel="0" collapsed="false">
      <c r="A12" s="6" t="s">
        <v>452</v>
      </c>
      <c r="B12" s="6"/>
      <c r="C12" s="6"/>
      <c r="D12" s="30" t="n">
        <f aca="false">Parametreler!D40</f>
        <v>0.05</v>
      </c>
      <c r="E12" s="24" t="s">
        <v>6</v>
      </c>
    </row>
    <row r="13" customFormat="false" ht="15" hidden="false" customHeight="true" outlineLevel="0" collapsed="false">
      <c r="A13" s="6" t="s">
        <v>453</v>
      </c>
      <c r="B13" s="6"/>
      <c r="C13" s="6"/>
      <c r="D13" s="30" t="n">
        <f aca="false">Parametreler!D41</f>
        <v>0.01</v>
      </c>
      <c r="E13" s="24" t="s">
        <v>6</v>
      </c>
    </row>
    <row r="15" customFormat="false" ht="15" hidden="false" customHeight="true" outlineLevel="0" collapsed="false">
      <c r="A15" s="8" t="s">
        <v>454</v>
      </c>
      <c r="B15" s="9"/>
      <c r="C15" s="9"/>
      <c r="D15" s="9"/>
      <c r="E15" s="9"/>
    </row>
    <row r="16" customFormat="false" ht="15" hidden="false" customHeight="true" outlineLevel="0" collapsed="false">
      <c r="A16" s="5" t="s">
        <v>455</v>
      </c>
      <c r="B16" s="5"/>
      <c r="C16" s="5"/>
      <c r="D16" s="27" t="n">
        <f aca="false">IF(OR(D6-D9&lt;=0,D7&lt;=0),0,MIN(D7,MAX(0,D7*(D8-D9)/(D6-D9))))</f>
        <v>2438794.64888889</v>
      </c>
    </row>
    <row r="17" customFormat="false" ht="15" hidden="false" customHeight="true" outlineLevel="0" collapsed="false">
      <c r="A17" s="5" t="s">
        <v>456</v>
      </c>
      <c r="B17" s="5"/>
      <c r="C17" s="5"/>
      <c r="D17" s="27" t="n">
        <f aca="false">IF(OR(D6&lt;=0,D7&lt;=0),0,MIN(D7-D16,MAX(0,D7*D10/D6)))</f>
        <v>1954906.8217284</v>
      </c>
    </row>
    <row r="18" customFormat="false" ht="15" hidden="false" customHeight="true" outlineLevel="0" collapsed="false">
      <c r="A18" s="5" t="s">
        <v>457</v>
      </c>
      <c r="B18" s="5"/>
      <c r="C18" s="5"/>
      <c r="D18" s="27" t="n">
        <f aca="false">D7-D16-D17</f>
        <v>8671269.86271605</v>
      </c>
    </row>
    <row r="19" customFormat="false" ht="15" hidden="false" customHeight="true" outlineLevel="0" collapsed="false">
      <c r="A19" s="5" t="s">
        <v>458</v>
      </c>
      <c r="B19" s="5"/>
      <c r="C19" s="5"/>
      <c r="D19" s="34" t="n">
        <f aca="false">D11-D12</f>
        <v>0.2</v>
      </c>
    </row>
    <row r="20" customFormat="false" ht="15" hidden="false" customHeight="true" outlineLevel="0" collapsed="false">
      <c r="A20" s="5" t="s">
        <v>459</v>
      </c>
      <c r="B20" s="5"/>
      <c r="C20" s="5"/>
      <c r="D20" s="34" t="n">
        <f aca="false">D11-D13</f>
        <v>0.24</v>
      </c>
    </row>
    <row r="21" customFormat="false" ht="15" hidden="false" customHeight="true" outlineLevel="0" collapsed="false">
      <c r="A21" s="5" t="s">
        <v>460</v>
      </c>
      <c r="B21" s="5"/>
      <c r="C21" s="5"/>
      <c r="D21" s="27" t="n">
        <f aca="false">D16*D19+D17*D20+D18*D11</f>
        <v>3124754.03267161</v>
      </c>
    </row>
    <row r="22" customFormat="false" ht="15" hidden="false" customHeight="true" outlineLevel="0" collapsed="false">
      <c r="A22" s="5" t="s">
        <v>461</v>
      </c>
      <c r="B22" s="5"/>
      <c r="C22" s="5"/>
      <c r="D22" s="27" t="n">
        <f aca="false">D16*D12+D17*D13</f>
        <v>141488.800661728</v>
      </c>
    </row>
    <row r="23" customFormat="false" ht="15" hidden="false" customHeight="true" outlineLevel="0" collapsed="false">
      <c r="A23" s="5" t="s">
        <v>462</v>
      </c>
      <c r="B23" s="5"/>
      <c r="C23" s="5"/>
      <c r="D23" s="27" t="n">
        <f aca="false">Parametreler!D20</f>
        <v>200000</v>
      </c>
    </row>
    <row r="24" customFormat="false" ht="15" hidden="false" customHeight="true" outlineLevel="0" collapsed="false">
      <c r="A24" s="5" t="s">
        <v>463</v>
      </c>
      <c r="B24" s="5"/>
      <c r="C24" s="5"/>
      <c r="D24" s="12" t="str">
        <f aca="false">IF(D22&gt;D23,"Evet","Hayır")</f>
        <v>Hayır</v>
      </c>
    </row>
    <row r="25" customFormat="false" ht="55.5" hidden="false" customHeight="true" outlineLevel="0" collapsed="false">
      <c r="A25" s="17" t="s">
        <v>464</v>
      </c>
      <c r="B25" s="17"/>
      <c r="C25" s="17"/>
      <c r="D25" s="17"/>
      <c r="E25" s="17"/>
    </row>
  </sheetData>
  <mergeCells count="18">
    <mergeCell ref="A6:C6"/>
    <mergeCell ref="A7:C7"/>
    <mergeCell ref="A8:C8"/>
    <mergeCell ref="A9:C9"/>
    <mergeCell ref="A10:C10"/>
    <mergeCell ref="A11:C11"/>
    <mergeCell ref="A12:C12"/>
    <mergeCell ref="A13:C13"/>
    <mergeCell ref="A16:C16"/>
    <mergeCell ref="A17:C17"/>
    <mergeCell ref="A18:C18"/>
    <mergeCell ref="A19:C19"/>
    <mergeCell ref="A20:C20"/>
    <mergeCell ref="A21:C21"/>
    <mergeCell ref="A22:C22"/>
    <mergeCell ref="A23:C23"/>
    <mergeCell ref="A24:C24"/>
    <mergeCell ref="A25:E2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7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28"/>
    <col collapsed="false" customWidth="true" hidden="false" outlineLevel="0" max="3" min="3" style="1" width="15"/>
    <col collapsed="false" customWidth="true" hidden="false" outlineLevel="0" max="5" min="4" style="1" width="18"/>
    <col collapsed="false" customWidth="true" hidden="false" outlineLevel="0" max="7" min="6" style="1" width="15"/>
    <col collapsed="false" customWidth="true" hidden="false" outlineLevel="0" max="8" min="8" style="1" width="16"/>
    <col collapsed="false" customWidth="true" hidden="false" outlineLevel="0" max="9" min="9" style="1" width="15"/>
    <col collapsed="false" customWidth="true" hidden="false" outlineLevel="0" max="10" min="10" style="1" width="16"/>
  </cols>
  <sheetData>
    <row r="1" customFormat="false" ht="17.25" hidden="false" customHeight="true" outlineLevel="0" collapsed="false">
      <c r="A1" s="18" t="s">
        <v>465</v>
      </c>
    </row>
    <row r="2" customFormat="false" ht="15" hidden="false" customHeight="true" outlineLevel="0" collapsed="false">
      <c r="A2" s="19" t="s">
        <v>466</v>
      </c>
    </row>
    <row r="3" customFormat="false" ht="15" hidden="false" customHeight="true" outlineLevel="0" collapsed="false">
      <c r="A3" s="20" t="s">
        <v>73</v>
      </c>
    </row>
    <row r="5" customFormat="false" ht="15" hidden="false" customHeight="true" outlineLevel="0" collapsed="false">
      <c r="A5" s="8" t="s">
        <v>467</v>
      </c>
      <c r="B5" s="9"/>
      <c r="C5" s="9"/>
      <c r="D5" s="9"/>
      <c r="E5" s="9"/>
      <c r="F5" s="9"/>
      <c r="G5" s="9"/>
      <c r="H5" s="9"/>
      <c r="I5" s="9"/>
      <c r="J5" s="9"/>
    </row>
    <row r="6" customFormat="false" ht="42" hidden="false" customHeight="true" outlineLevel="0" collapsed="false">
      <c r="A6" s="4" t="s">
        <v>468</v>
      </c>
      <c r="B6" s="4" t="s">
        <v>469</v>
      </c>
      <c r="C6" s="4" t="s">
        <v>470</v>
      </c>
      <c r="D6" s="4" t="s">
        <v>471</v>
      </c>
      <c r="E6" s="4" t="s">
        <v>472</v>
      </c>
      <c r="F6" s="4" t="s">
        <v>473</v>
      </c>
      <c r="G6" s="4" t="s">
        <v>474</v>
      </c>
      <c r="H6" s="4" t="s">
        <v>173</v>
      </c>
      <c r="I6" s="4" t="s">
        <v>475</v>
      </c>
      <c r="J6" s="4" t="s">
        <v>476</v>
      </c>
    </row>
    <row r="7" customFormat="false" ht="15" hidden="false" customHeight="true" outlineLevel="0" collapsed="false">
      <c r="A7" s="28" t="s">
        <v>477</v>
      </c>
      <c r="B7" s="28" t="s">
        <v>478</v>
      </c>
      <c r="C7" s="26" t="n">
        <v>2000000</v>
      </c>
      <c r="D7" s="26" t="n">
        <v>400000</v>
      </c>
      <c r="E7" s="26" t="n">
        <v>300000</v>
      </c>
      <c r="F7" s="26" t="n">
        <v>200000</v>
      </c>
      <c r="G7" s="26" t="n">
        <v>100000</v>
      </c>
      <c r="H7" s="33" t="n">
        <f aca="false">SUM(C7:G7)</f>
        <v>3000000</v>
      </c>
      <c r="I7" s="26" t="n">
        <v>200000</v>
      </c>
      <c r="J7" s="33" t="n">
        <f aca="false">H7-N(I7)</f>
        <v>2800000</v>
      </c>
    </row>
    <row r="8" customFormat="false" ht="15" hidden="false" customHeight="true" outlineLevel="0" collapsed="false">
      <c r="A8" s="28" t="s">
        <v>479</v>
      </c>
      <c r="B8" s="28" t="s">
        <v>480</v>
      </c>
      <c r="C8" s="26" t="n">
        <v>1300000</v>
      </c>
      <c r="D8" s="26" t="n">
        <v>300000</v>
      </c>
      <c r="E8" s="26" t="n">
        <v>200000</v>
      </c>
      <c r="F8" s="26" t="n">
        <v>100000</v>
      </c>
      <c r="G8" s="26" t="n">
        <v>0</v>
      </c>
      <c r="H8" s="33" t="n">
        <f aca="false">SUM(C8:G8)</f>
        <v>1900000</v>
      </c>
      <c r="I8" s="26" t="n">
        <v>200000</v>
      </c>
      <c r="J8" s="33" t="n">
        <f aca="false">H8-N(I8)</f>
        <v>1700000</v>
      </c>
    </row>
    <row r="9" customFormat="false" ht="15" hidden="false" customHeight="true" outlineLevel="0" collapsed="false">
      <c r="A9" s="28"/>
      <c r="B9" s="28"/>
      <c r="C9" s="26"/>
      <c r="D9" s="26"/>
      <c r="E9" s="26"/>
      <c r="F9" s="26"/>
      <c r="G9" s="26"/>
      <c r="H9" s="33" t="n">
        <f aca="false">SUM(C9:G9)</f>
        <v>0</v>
      </c>
      <c r="I9" s="26"/>
      <c r="J9" s="33" t="n">
        <f aca="false">H9-N(I9)</f>
        <v>0</v>
      </c>
    </row>
    <row r="10" customFormat="false" ht="15" hidden="false" customHeight="true" outlineLevel="0" collapsed="false">
      <c r="A10" s="28"/>
      <c r="B10" s="28"/>
      <c r="C10" s="26"/>
      <c r="D10" s="26"/>
      <c r="E10" s="26"/>
      <c r="F10" s="26"/>
      <c r="G10" s="26"/>
      <c r="H10" s="33" t="n">
        <f aca="false">SUM(C10:G10)</f>
        <v>0</v>
      </c>
      <c r="I10" s="26"/>
      <c r="J10" s="33" t="n">
        <f aca="false">H10-N(I10)</f>
        <v>0</v>
      </c>
    </row>
    <row r="11" customFormat="false" ht="15" hidden="false" customHeight="true" outlineLevel="0" collapsed="false">
      <c r="A11" s="28"/>
      <c r="B11" s="28"/>
      <c r="C11" s="26"/>
      <c r="D11" s="26"/>
      <c r="E11" s="26"/>
      <c r="F11" s="26"/>
      <c r="G11" s="26"/>
      <c r="H11" s="33" t="n">
        <f aca="false">SUM(C11:G11)</f>
        <v>0</v>
      </c>
      <c r="I11" s="26"/>
      <c r="J11" s="33" t="n">
        <f aca="false">H11-N(I11)</f>
        <v>0</v>
      </c>
    </row>
    <row r="12" customFormat="false" ht="15" hidden="false" customHeight="true" outlineLevel="0" collapsed="false">
      <c r="A12" s="28"/>
      <c r="B12" s="28"/>
      <c r="C12" s="26"/>
      <c r="D12" s="26"/>
      <c r="E12" s="26"/>
      <c r="F12" s="26"/>
      <c r="G12" s="26"/>
      <c r="H12" s="33" t="n">
        <f aca="false">SUM(C12:G12)</f>
        <v>0</v>
      </c>
      <c r="I12" s="26"/>
      <c r="J12" s="33" t="n">
        <f aca="false">H12-N(I12)</f>
        <v>0</v>
      </c>
    </row>
    <row r="13" customFormat="false" ht="15" hidden="false" customHeight="true" outlineLevel="0" collapsed="false">
      <c r="A13" s="28"/>
      <c r="B13" s="28"/>
      <c r="C13" s="26"/>
      <c r="D13" s="26"/>
      <c r="E13" s="26"/>
      <c r="F13" s="26"/>
      <c r="G13" s="26"/>
      <c r="H13" s="33" t="n">
        <f aca="false">SUM(C13:G13)</f>
        <v>0</v>
      </c>
      <c r="I13" s="26"/>
      <c r="J13" s="33" t="n">
        <f aca="false">H13-N(I13)</f>
        <v>0</v>
      </c>
    </row>
    <row r="14" customFormat="false" ht="15" hidden="false" customHeight="true" outlineLevel="0" collapsed="false">
      <c r="A14" s="28"/>
      <c r="B14" s="28"/>
      <c r="C14" s="26"/>
      <c r="D14" s="26"/>
      <c r="E14" s="26"/>
      <c r="F14" s="26"/>
      <c r="G14" s="26"/>
      <c r="H14" s="33" t="n">
        <f aca="false">SUM(C14:G14)</f>
        <v>0</v>
      </c>
      <c r="I14" s="26"/>
      <c r="J14" s="33" t="n">
        <f aca="false">H14-N(I14)</f>
        <v>0</v>
      </c>
    </row>
    <row r="15" customFormat="false" ht="15" hidden="false" customHeight="true" outlineLevel="0" collapsed="false">
      <c r="A15" s="28"/>
      <c r="B15" s="28"/>
      <c r="C15" s="26"/>
      <c r="D15" s="26"/>
      <c r="E15" s="26"/>
      <c r="F15" s="26"/>
      <c r="G15" s="26"/>
      <c r="H15" s="33" t="n">
        <f aca="false">SUM(C15:G15)</f>
        <v>0</v>
      </c>
      <c r="I15" s="26"/>
      <c r="J15" s="33" t="n">
        <f aca="false">H15-N(I15)</f>
        <v>0</v>
      </c>
    </row>
    <row r="16" customFormat="false" ht="15" hidden="false" customHeight="true" outlineLevel="0" collapsed="false">
      <c r="A16" s="28"/>
      <c r="B16" s="28"/>
      <c r="C16" s="26"/>
      <c r="D16" s="26"/>
      <c r="E16" s="26"/>
      <c r="F16" s="26"/>
      <c r="G16" s="26"/>
      <c r="H16" s="33" t="n">
        <f aca="false">SUM(C16:G16)</f>
        <v>0</v>
      </c>
      <c r="I16" s="26"/>
      <c r="J16" s="33" t="n">
        <f aca="false">H16-N(I16)</f>
        <v>0</v>
      </c>
    </row>
    <row r="17" customFormat="false" ht="15" hidden="false" customHeight="true" outlineLevel="0" collapsed="false">
      <c r="B17" s="31" t="s">
        <v>173</v>
      </c>
      <c r="C17" s="27" t="n">
        <f aca="false">SUM(C7:C16)</f>
        <v>3300000</v>
      </c>
      <c r="D17" s="27" t="n">
        <f aca="false">SUM(D7:D16)</f>
        <v>700000</v>
      </c>
      <c r="E17" s="27" t="n">
        <f aca="false">SUM(E7:E16)</f>
        <v>500000</v>
      </c>
      <c r="F17" s="27" t="n">
        <f aca="false">SUM(F7:F16)</f>
        <v>300000</v>
      </c>
      <c r="G17" s="27" t="n">
        <f aca="false">SUM(G7:G16)</f>
        <v>100000</v>
      </c>
      <c r="H17" s="27" t="n">
        <f aca="false">SUM(H7:H16)</f>
        <v>4900000</v>
      </c>
      <c r="I17" s="27" t="n">
        <f aca="false">SUM(I7:I16)</f>
        <v>400000</v>
      </c>
      <c r="J17" s="27" t="n">
        <f aca="false">SUM(J7:J16)</f>
        <v>4500000</v>
      </c>
    </row>
    <row r="19" customFormat="false" ht="15" hidden="false" customHeight="true" outlineLevel="0" collapsed="false">
      <c r="A19" s="8" t="s">
        <v>481</v>
      </c>
      <c r="B19" s="9"/>
      <c r="C19" s="9"/>
      <c r="D19" s="9"/>
      <c r="E19" s="9"/>
      <c r="F19" s="9"/>
      <c r="G19" s="9"/>
      <c r="H19" s="9"/>
      <c r="I19" s="9"/>
      <c r="J19" s="9"/>
    </row>
    <row r="20" customFormat="false" ht="15" hidden="false" customHeight="true" outlineLevel="0" collapsed="false">
      <c r="A20" s="5" t="s">
        <v>482</v>
      </c>
      <c r="B20" s="5"/>
      <c r="C20" s="5"/>
      <c r="D20" s="27" t="n">
        <f aca="false">J17</f>
        <v>4500000</v>
      </c>
    </row>
    <row r="21" customFormat="false" ht="15" hidden="false" customHeight="true" outlineLevel="0" collapsed="false">
      <c r="A21" s="6" t="s">
        <v>483</v>
      </c>
      <c r="B21" s="6"/>
      <c r="C21" s="6"/>
      <c r="D21" s="26" t="n">
        <v>3500000</v>
      </c>
    </row>
    <row r="22" customFormat="false" ht="15" hidden="false" customHeight="true" outlineLevel="0" collapsed="false">
      <c r="A22" s="6" t="s">
        <v>484</v>
      </c>
      <c r="B22" s="6"/>
      <c r="C22" s="6"/>
      <c r="D22" s="28" t="s">
        <v>251</v>
      </c>
    </row>
    <row r="23" customFormat="false" ht="15" hidden="false" customHeight="true" outlineLevel="0" collapsed="false">
      <c r="A23" s="5" t="s">
        <v>485</v>
      </c>
      <c r="B23" s="5"/>
      <c r="C23" s="5"/>
      <c r="D23" s="27" t="n">
        <f aca="false">MAX(0,D20-D21)</f>
        <v>1000000</v>
      </c>
    </row>
    <row r="24" customFormat="false" ht="15" hidden="false" customHeight="true" outlineLevel="0" collapsed="false">
      <c r="A24" s="5" t="s">
        <v>486</v>
      </c>
      <c r="B24" s="5"/>
      <c r="C24" s="5"/>
      <c r="D24" s="27" t="n">
        <f aca="false">IF(D22="E",D23*0.5,0)</f>
        <v>500000</v>
      </c>
    </row>
    <row r="25" customFormat="false" ht="15" hidden="false" customHeight="true" outlineLevel="0" collapsed="false">
      <c r="A25" s="5" t="s">
        <v>487</v>
      </c>
      <c r="B25" s="5"/>
      <c r="C25" s="5"/>
      <c r="D25" s="27" t="n">
        <f aca="false">D20+D24</f>
        <v>5000000</v>
      </c>
    </row>
    <row r="26" customFormat="false" ht="15" hidden="false" customHeight="true" outlineLevel="0" collapsed="false">
      <c r="A26" s="6" t="s">
        <v>488</v>
      </c>
      <c r="B26" s="6"/>
      <c r="C26" s="6"/>
      <c r="D26" s="26" t="n">
        <v>400000</v>
      </c>
    </row>
    <row r="27" customFormat="false" ht="15" hidden="false" customHeight="true" outlineLevel="0" collapsed="false">
      <c r="A27" s="5" t="s">
        <v>489</v>
      </c>
      <c r="B27" s="5"/>
      <c r="C27" s="5"/>
      <c r="D27" s="34" t="n">
        <f aca="false">Parametreler!D28</f>
        <v>0.2549</v>
      </c>
    </row>
    <row r="28" customFormat="false" ht="15" hidden="false" customHeight="true" outlineLevel="0" collapsed="false">
      <c r="A28" s="5" t="s">
        <v>490</v>
      </c>
      <c r="B28" s="5"/>
      <c r="C28" s="5"/>
      <c r="D28" s="27" t="n">
        <f aca="false">D26*(1+D27)</f>
        <v>501960</v>
      </c>
    </row>
    <row r="29" customFormat="false" ht="15" hidden="false" customHeight="true" outlineLevel="0" collapsed="false">
      <c r="A29" s="5" t="s">
        <v>491</v>
      </c>
      <c r="B29" s="5"/>
      <c r="C29" s="5"/>
      <c r="D29" s="27" t="n">
        <f aca="false">D25+D28</f>
        <v>5501960</v>
      </c>
    </row>
    <row r="30" customFormat="false" ht="15" hidden="false" customHeight="true" outlineLevel="0" collapsed="false">
      <c r="A30" s="5" t="s">
        <v>492</v>
      </c>
      <c r="B30" s="5"/>
      <c r="C30" s="5"/>
      <c r="D30" s="27" t="n">
        <f aca="false">'Ek-14'!F15</f>
        <v>26300000</v>
      </c>
    </row>
    <row r="31" customFormat="false" ht="15" hidden="false" customHeight="true" outlineLevel="0" collapsed="false">
      <c r="A31" s="5" t="s">
        <v>493</v>
      </c>
      <c r="B31" s="5"/>
      <c r="C31" s="5"/>
      <c r="D31" s="27" t="n">
        <f aca="false">'Ek-14'!E17</f>
        <v>5501960</v>
      </c>
    </row>
    <row r="32" customFormat="false" ht="15" hidden="false" customHeight="true" outlineLevel="0" collapsed="false">
      <c r="A32" s="5" t="s">
        <v>494</v>
      </c>
      <c r="B32" s="5"/>
      <c r="C32" s="5"/>
      <c r="D32" s="27" t="n">
        <f aca="false">D29-D31</f>
        <v>0</v>
      </c>
    </row>
    <row r="34" customFormat="false" ht="15" hidden="false" customHeight="true" outlineLevel="0" collapsed="false">
      <c r="A34" s="8" t="s">
        <v>495</v>
      </c>
      <c r="B34" s="9"/>
      <c r="C34" s="9"/>
      <c r="D34" s="9"/>
      <c r="E34" s="9"/>
      <c r="F34" s="9"/>
      <c r="G34" s="9"/>
      <c r="H34" s="9"/>
      <c r="I34" s="9"/>
      <c r="J34" s="9"/>
    </row>
    <row r="35" customFormat="false" ht="42" hidden="false" customHeight="true" outlineLevel="0" collapsed="false">
      <c r="A35" s="4" t="s">
        <v>368</v>
      </c>
      <c r="B35" s="4"/>
      <c r="C35" s="4"/>
      <c r="D35" s="4" t="s">
        <v>496</v>
      </c>
      <c r="E35" s="4" t="s">
        <v>497</v>
      </c>
    </row>
    <row r="36" customFormat="false" ht="15" hidden="false" customHeight="true" outlineLevel="0" collapsed="false">
      <c r="A36" s="5" t="s">
        <v>498</v>
      </c>
      <c r="B36" s="5"/>
      <c r="C36" s="5"/>
      <c r="D36" s="27" t="n">
        <f aca="false">D31</f>
        <v>5501960</v>
      </c>
      <c r="E36" s="27" t="n">
        <f aca="false">'Ek-7'!F19</f>
        <v>2500000</v>
      </c>
    </row>
    <row r="37" customFormat="false" ht="15" hidden="false" customHeight="true" outlineLevel="0" collapsed="false">
      <c r="A37" s="5" t="s">
        <v>499</v>
      </c>
      <c r="B37" s="5"/>
      <c r="C37" s="5"/>
      <c r="D37" s="27" t="n">
        <f aca="false">Parametreler!D24</f>
        <v>5000000</v>
      </c>
      <c r="E37" s="27" t="n">
        <f aca="false">Parametreler!D24</f>
        <v>5000000</v>
      </c>
    </row>
    <row r="38" customFormat="false" ht="15" hidden="false" customHeight="true" outlineLevel="0" collapsed="false">
      <c r="A38" s="5" t="s">
        <v>500</v>
      </c>
      <c r="B38" s="5"/>
      <c r="C38" s="5"/>
      <c r="D38" s="12" t="str">
        <f aca="false">IF(D36&gt;=D37,"Evet","Hayır")</f>
        <v>Evet</v>
      </c>
      <c r="E38" s="12" t="str">
        <f aca="false">IF(E36&gt;=E37,"Evet","Hayır")</f>
        <v>Hayır</v>
      </c>
    </row>
    <row r="39" customFormat="false" ht="15" hidden="false" customHeight="true" outlineLevel="0" collapsed="false">
      <c r="A39" s="5" t="s">
        <v>501</v>
      </c>
      <c r="B39" s="5"/>
      <c r="C39" s="5"/>
      <c r="D39" s="27" t="n">
        <f aca="false">IF(D38="Evet",MIN(D36*Parametreler!D25,Parametreler!D26),0)</f>
        <v>165058.8</v>
      </c>
      <c r="E39" s="27" t="n">
        <f aca="false">IF(E38="Evet",MIN(E36*Parametreler!D25,Parametreler!D26),0)</f>
        <v>0</v>
      </c>
    </row>
    <row r="40" customFormat="false" ht="15" hidden="false" customHeight="true" outlineLevel="0" collapsed="false">
      <c r="A40" s="5" t="s">
        <v>502</v>
      </c>
      <c r="B40" s="5"/>
      <c r="C40" s="5"/>
      <c r="D40" s="39" t="n">
        <f aca="false">IF(D38="Evet",DATE(Parametreler!D6+1,12,31),"")</f>
        <v>46752</v>
      </c>
      <c r="E40" s="39" t="str">
        <f aca="false">IF(E38="Evet",DATE(Parametreler!D6+1,12,31),"")</f>
        <v/>
      </c>
    </row>
    <row r="41" customFormat="false" ht="15" hidden="false" customHeight="true" outlineLevel="0" collapsed="false">
      <c r="A41" s="5" t="s">
        <v>503</v>
      </c>
      <c r="B41" s="5"/>
      <c r="C41" s="5"/>
      <c r="D41" s="28" t="s">
        <v>251</v>
      </c>
      <c r="E41" s="28" t="s">
        <v>251</v>
      </c>
    </row>
    <row r="42" customFormat="false" ht="15" hidden="false" customHeight="true" outlineLevel="0" collapsed="false">
      <c r="A42" s="5" t="s">
        <v>504</v>
      </c>
      <c r="B42" s="5"/>
      <c r="C42" s="5"/>
      <c r="D42" s="27" t="n">
        <f aca="false">IF(D38="Evet",D36*Parametreler!D27,0)</f>
        <v>1100392</v>
      </c>
      <c r="E42" s="27" t="n">
        <f aca="false">IF(E38="Evet",E36*Parametreler!D27,0)</f>
        <v>0</v>
      </c>
    </row>
    <row r="43" customFormat="false" ht="15" hidden="false" customHeight="true" outlineLevel="0" collapsed="false">
      <c r="A43" s="5" t="s">
        <v>505</v>
      </c>
      <c r="B43" s="5"/>
      <c r="C43" s="5"/>
      <c r="D43" s="27" t="n">
        <f aca="false">D42*Parametreler!D8</f>
        <v>275098</v>
      </c>
      <c r="E43" s="27" t="n">
        <f aca="false">E42*Parametreler!D8</f>
        <v>0</v>
      </c>
    </row>
    <row r="44" customFormat="false" ht="15" hidden="false" customHeight="true" outlineLevel="0" collapsed="false">
      <c r="A44" s="5" t="s">
        <v>247</v>
      </c>
      <c r="B44" s="5"/>
      <c r="C44" s="5"/>
      <c r="D44" s="12" t="str">
        <f aca="false">IF(D38&lt;&gt;"Evet","Yükümlülük yok",IF(D41="E","Tamam – izlemeye devam","Risk: indirimin %20’si kaybedilir"))</f>
        <v>Tamam – izlemeye devam</v>
      </c>
      <c r="E44" s="12" t="str">
        <f aca="false">IF(E38&lt;&gt;"Evet","Yükümlülük yok",IF(E41="E","Tamam – izlemeye devam","Risk: istisnanın %20’si kaybedilir"))</f>
        <v>Yükümlülük yok</v>
      </c>
    </row>
    <row r="45" customFormat="false" ht="23.25" hidden="false" customHeight="true" outlineLevel="0" collapsed="false">
      <c r="A45" s="5" t="s">
        <v>506</v>
      </c>
      <c r="B45" s="5"/>
      <c r="C45" s="5"/>
      <c r="D45" s="33" t="n">
        <f aca="false">D36+E36</f>
        <v>8001960</v>
      </c>
      <c r="E45" s="6" t="s">
        <v>507</v>
      </c>
    </row>
    <row r="46" customFormat="false" ht="57.75" hidden="false" customHeight="true" outlineLevel="0" collapsed="false">
      <c r="A46" s="17" t="s">
        <v>508</v>
      </c>
      <c r="B46" s="17"/>
      <c r="C46" s="17"/>
      <c r="D46" s="17"/>
      <c r="E46" s="17"/>
      <c r="F46" s="17"/>
      <c r="G46" s="17"/>
      <c r="H46" s="17"/>
      <c r="I46" s="17"/>
      <c r="J46" s="17"/>
    </row>
    <row r="48" customFormat="false" ht="15" hidden="false" customHeight="true" outlineLevel="0" collapsed="false">
      <c r="A48" s="8" t="s">
        <v>509</v>
      </c>
      <c r="B48" s="9"/>
      <c r="C48" s="9"/>
      <c r="D48" s="9"/>
      <c r="E48" s="9"/>
      <c r="F48" s="9"/>
      <c r="G48" s="9"/>
      <c r="H48" s="9"/>
      <c r="I48" s="9"/>
      <c r="J48" s="9"/>
    </row>
    <row r="49" customFormat="false" ht="42" hidden="false" customHeight="true" outlineLevel="0" collapsed="false">
      <c r="A49" s="4" t="s">
        <v>510</v>
      </c>
      <c r="B49" s="4" t="s">
        <v>511</v>
      </c>
      <c r="C49" s="4" t="s">
        <v>512</v>
      </c>
      <c r="D49" s="4" t="s">
        <v>513</v>
      </c>
      <c r="E49" s="4" t="s">
        <v>514</v>
      </c>
      <c r="F49" s="4" t="s">
        <v>515</v>
      </c>
      <c r="G49" s="4" t="s">
        <v>516</v>
      </c>
      <c r="H49" s="4" t="s">
        <v>468</v>
      </c>
      <c r="I49" s="4" t="s">
        <v>517</v>
      </c>
      <c r="J49" s="4" t="s">
        <v>166</v>
      </c>
    </row>
    <row r="50" customFormat="false" ht="15" hidden="false" customHeight="true" outlineLevel="0" collapsed="false">
      <c r="A50" s="28" t="s">
        <v>518</v>
      </c>
      <c r="B50" s="28" t="s">
        <v>168</v>
      </c>
      <c r="C50" s="28" t="s">
        <v>519</v>
      </c>
      <c r="D50" s="28" t="s">
        <v>520</v>
      </c>
      <c r="E50" s="28" t="n">
        <v>12</v>
      </c>
      <c r="F50" s="26" t="n">
        <v>1200000</v>
      </c>
      <c r="G50" s="26" t="n">
        <v>95000</v>
      </c>
      <c r="H50" s="28" t="s">
        <v>477</v>
      </c>
      <c r="I50" s="28" t="s">
        <v>299</v>
      </c>
      <c r="J50" s="28"/>
    </row>
    <row r="51" customFormat="false" ht="15" hidden="false" customHeight="true" outlineLevel="0" collapsed="false">
      <c r="A51" s="28"/>
      <c r="B51" s="28"/>
      <c r="C51" s="28"/>
      <c r="D51" s="28"/>
      <c r="E51" s="28"/>
      <c r="F51" s="26"/>
      <c r="G51" s="26"/>
      <c r="H51" s="28"/>
      <c r="I51" s="28"/>
      <c r="J51" s="28"/>
    </row>
    <row r="52" customFormat="false" ht="15" hidden="false" customHeight="true" outlineLevel="0" collapsed="false">
      <c r="A52" s="28"/>
      <c r="B52" s="28"/>
      <c r="C52" s="28"/>
      <c r="D52" s="28"/>
      <c r="E52" s="28"/>
      <c r="F52" s="26"/>
      <c r="G52" s="26"/>
      <c r="H52" s="28"/>
      <c r="I52" s="28"/>
      <c r="J52" s="28"/>
    </row>
    <row r="53" customFormat="false" ht="15" hidden="false" customHeight="true" outlineLevel="0" collapsed="false">
      <c r="A53" s="28"/>
      <c r="B53" s="28"/>
      <c r="C53" s="28"/>
      <c r="D53" s="28"/>
      <c r="E53" s="28"/>
      <c r="F53" s="26"/>
      <c r="G53" s="26"/>
      <c r="H53" s="28"/>
      <c r="I53" s="28"/>
      <c r="J53" s="28"/>
    </row>
    <row r="54" customFormat="false" ht="15" hidden="false" customHeight="true" outlineLevel="0" collapsed="false">
      <c r="A54" s="28"/>
      <c r="B54" s="28"/>
      <c r="C54" s="28"/>
      <c r="D54" s="28"/>
      <c r="E54" s="28"/>
      <c r="F54" s="26"/>
      <c r="G54" s="26"/>
      <c r="H54" s="28"/>
      <c r="I54" s="28"/>
      <c r="J54" s="28"/>
    </row>
    <row r="55" customFormat="false" ht="15" hidden="false" customHeight="true" outlineLevel="0" collapsed="false">
      <c r="A55" s="28"/>
      <c r="B55" s="28"/>
      <c r="C55" s="28"/>
      <c r="D55" s="28"/>
      <c r="E55" s="28"/>
      <c r="F55" s="26"/>
      <c r="G55" s="26"/>
      <c r="H55" s="28"/>
      <c r="I55" s="28"/>
      <c r="J55" s="28"/>
    </row>
    <row r="56" customFormat="false" ht="15" hidden="false" customHeight="true" outlineLevel="0" collapsed="false">
      <c r="A56" s="28"/>
      <c r="B56" s="28"/>
      <c r="C56" s="28"/>
      <c r="D56" s="28"/>
      <c r="E56" s="28"/>
      <c r="F56" s="26"/>
      <c r="G56" s="26"/>
      <c r="H56" s="28"/>
      <c r="I56" s="28"/>
      <c r="J56" s="28"/>
    </row>
    <row r="57" customFormat="false" ht="15" hidden="false" customHeight="true" outlineLevel="0" collapsed="false">
      <c r="A57" s="28"/>
      <c r="B57" s="28"/>
      <c r="C57" s="28"/>
      <c r="D57" s="28"/>
      <c r="E57" s="28"/>
      <c r="F57" s="26"/>
      <c r="G57" s="26"/>
      <c r="H57" s="28"/>
      <c r="I57" s="28"/>
      <c r="J57" s="28"/>
    </row>
    <row r="58" customFormat="false" ht="15" hidden="false" customHeight="true" outlineLevel="0" collapsed="false">
      <c r="A58" s="28"/>
      <c r="B58" s="28"/>
      <c r="C58" s="28"/>
      <c r="D58" s="28"/>
      <c r="E58" s="28"/>
      <c r="F58" s="26"/>
      <c r="G58" s="26"/>
      <c r="H58" s="28"/>
      <c r="I58" s="28"/>
      <c r="J58" s="28"/>
    </row>
    <row r="59" customFormat="false" ht="15" hidden="false" customHeight="true" outlineLevel="0" collapsed="false">
      <c r="A59" s="28"/>
      <c r="B59" s="28"/>
      <c r="C59" s="28"/>
      <c r="D59" s="28"/>
      <c r="E59" s="28"/>
      <c r="F59" s="26"/>
      <c r="G59" s="26"/>
      <c r="H59" s="28"/>
      <c r="I59" s="28"/>
      <c r="J59" s="28"/>
    </row>
    <row r="60" customFormat="false" ht="15" hidden="false" customHeight="true" outlineLevel="0" collapsed="false">
      <c r="E60" s="31" t="s">
        <v>173</v>
      </c>
      <c r="F60" s="27" t="n">
        <f aca="false">SUM(F50:F59)</f>
        <v>1200000</v>
      </c>
      <c r="G60" s="27" t="n">
        <f aca="false">SUM(G50:G59)</f>
        <v>95000</v>
      </c>
    </row>
    <row r="62" customFormat="false" ht="15" hidden="false" customHeight="true" outlineLevel="0" collapsed="false">
      <c r="A62" s="8" t="s">
        <v>521</v>
      </c>
      <c r="B62" s="9"/>
      <c r="C62" s="9"/>
      <c r="D62" s="9"/>
      <c r="E62" s="9"/>
      <c r="F62" s="9"/>
      <c r="G62" s="9"/>
      <c r="H62" s="9"/>
      <c r="I62" s="9"/>
      <c r="J62" s="9"/>
    </row>
    <row r="63" customFormat="false" ht="42" hidden="false" customHeight="true" outlineLevel="0" collapsed="false">
      <c r="A63" s="4" t="s">
        <v>522</v>
      </c>
      <c r="B63" s="4" t="s">
        <v>161</v>
      </c>
      <c r="C63" s="4" t="s">
        <v>523</v>
      </c>
      <c r="D63" s="4" t="s">
        <v>393</v>
      </c>
      <c r="E63" s="4" t="s">
        <v>392</v>
      </c>
      <c r="F63" s="4" t="s">
        <v>331</v>
      </c>
      <c r="G63" s="4" t="s">
        <v>524</v>
      </c>
      <c r="H63" s="4" t="s">
        <v>525</v>
      </c>
      <c r="I63" s="4" t="s">
        <v>468</v>
      </c>
      <c r="J63" s="4" t="s">
        <v>166</v>
      </c>
    </row>
    <row r="64" customFormat="false" ht="15" hidden="false" customHeight="true" outlineLevel="0" collapsed="false">
      <c r="A64" s="28" t="s">
        <v>526</v>
      </c>
      <c r="B64" s="28" t="s">
        <v>153</v>
      </c>
      <c r="C64" s="28" t="s">
        <v>527</v>
      </c>
      <c r="D64" s="29" t="n">
        <v>46154</v>
      </c>
      <c r="E64" s="28" t="s">
        <v>528</v>
      </c>
      <c r="F64" s="26" t="n">
        <v>200000</v>
      </c>
      <c r="G64" s="26" t="n">
        <v>0</v>
      </c>
      <c r="H64" s="26" t="n">
        <v>40000</v>
      </c>
      <c r="I64" s="28" t="s">
        <v>477</v>
      </c>
      <c r="J64" s="28"/>
    </row>
    <row r="65" customFormat="false" ht="15" hidden="false" customHeight="true" outlineLevel="0" collapsed="false">
      <c r="A65" s="28"/>
      <c r="B65" s="28"/>
      <c r="C65" s="28"/>
      <c r="D65" s="29"/>
      <c r="E65" s="28"/>
      <c r="F65" s="26"/>
      <c r="G65" s="26"/>
      <c r="H65" s="26"/>
      <c r="I65" s="28"/>
      <c r="J65" s="28"/>
    </row>
    <row r="66" customFormat="false" ht="15" hidden="false" customHeight="true" outlineLevel="0" collapsed="false">
      <c r="A66" s="28"/>
      <c r="B66" s="28"/>
      <c r="C66" s="28"/>
      <c r="D66" s="29"/>
      <c r="E66" s="28"/>
      <c r="F66" s="26"/>
      <c r="G66" s="26"/>
      <c r="H66" s="26"/>
      <c r="I66" s="28"/>
      <c r="J66" s="28"/>
    </row>
    <row r="67" customFormat="false" ht="15" hidden="false" customHeight="true" outlineLevel="0" collapsed="false">
      <c r="A67" s="28"/>
      <c r="B67" s="28"/>
      <c r="C67" s="28"/>
      <c r="D67" s="29"/>
      <c r="E67" s="28"/>
      <c r="F67" s="26"/>
      <c r="G67" s="26"/>
      <c r="H67" s="26"/>
      <c r="I67" s="28"/>
      <c r="J67" s="28"/>
    </row>
    <row r="68" customFormat="false" ht="15" hidden="false" customHeight="true" outlineLevel="0" collapsed="false">
      <c r="A68" s="28"/>
      <c r="B68" s="28"/>
      <c r="C68" s="28"/>
      <c r="D68" s="29"/>
      <c r="E68" s="28"/>
      <c r="F68" s="26"/>
      <c r="G68" s="26"/>
      <c r="H68" s="26"/>
      <c r="I68" s="28"/>
      <c r="J68" s="28"/>
    </row>
    <row r="69" customFormat="false" ht="15" hidden="false" customHeight="true" outlineLevel="0" collapsed="false">
      <c r="A69" s="28"/>
      <c r="B69" s="28"/>
      <c r="C69" s="28"/>
      <c r="D69" s="29"/>
      <c r="E69" s="28"/>
      <c r="F69" s="26"/>
      <c r="G69" s="26"/>
      <c r="H69" s="26"/>
      <c r="I69" s="28"/>
      <c r="J69" s="28"/>
    </row>
    <row r="70" customFormat="false" ht="15" hidden="false" customHeight="true" outlineLevel="0" collapsed="false">
      <c r="A70" s="28"/>
      <c r="B70" s="28"/>
      <c r="C70" s="28"/>
      <c r="D70" s="29"/>
      <c r="E70" s="28"/>
      <c r="F70" s="26"/>
      <c r="G70" s="26"/>
      <c r="H70" s="26"/>
      <c r="I70" s="28"/>
      <c r="J70" s="28"/>
    </row>
    <row r="71" customFormat="false" ht="15" hidden="false" customHeight="true" outlineLevel="0" collapsed="false">
      <c r="A71" s="28"/>
      <c r="B71" s="28"/>
      <c r="C71" s="28"/>
      <c r="D71" s="29"/>
      <c r="E71" s="28"/>
      <c r="F71" s="26"/>
      <c r="G71" s="26"/>
      <c r="H71" s="26"/>
      <c r="I71" s="28"/>
      <c r="J71" s="28"/>
    </row>
    <row r="72" customFormat="false" ht="15" hidden="false" customHeight="true" outlineLevel="0" collapsed="false">
      <c r="A72" s="28"/>
      <c r="B72" s="28"/>
      <c r="C72" s="28"/>
      <c r="D72" s="29"/>
      <c r="E72" s="28"/>
      <c r="F72" s="26"/>
      <c r="G72" s="26"/>
      <c r="H72" s="26"/>
      <c r="I72" s="28"/>
      <c r="J72" s="28"/>
    </row>
    <row r="73" customFormat="false" ht="15" hidden="false" customHeight="true" outlineLevel="0" collapsed="false">
      <c r="A73" s="28"/>
      <c r="B73" s="28"/>
      <c r="C73" s="28"/>
      <c r="D73" s="29"/>
      <c r="E73" s="28"/>
      <c r="F73" s="26"/>
      <c r="G73" s="26"/>
      <c r="H73" s="26"/>
      <c r="I73" s="28"/>
      <c r="J73" s="28"/>
    </row>
    <row r="74" customFormat="false" ht="15" hidden="false" customHeight="true" outlineLevel="0" collapsed="false">
      <c r="E74" s="31" t="s">
        <v>173</v>
      </c>
      <c r="F74" s="27" t="n">
        <f aca="false">SUM(F64:F73)</f>
        <v>200000</v>
      </c>
      <c r="G74" s="27" t="n">
        <f aca="false">SUM(G64:G73)</f>
        <v>0</v>
      </c>
      <c r="H74" s="27" t="n">
        <f aca="false">SUM(H64:H73)</f>
        <v>40000</v>
      </c>
    </row>
    <row r="75" customFormat="false" ht="30" hidden="false" customHeight="true" outlineLevel="0" collapsed="false">
      <c r="A75" s="17" t="s">
        <v>529</v>
      </c>
      <c r="B75" s="17"/>
      <c r="C75" s="17"/>
      <c r="D75" s="17"/>
      <c r="E75" s="17"/>
      <c r="F75" s="17"/>
      <c r="G75" s="17"/>
      <c r="H75" s="17"/>
      <c r="I75" s="17"/>
      <c r="J75" s="17"/>
    </row>
  </sheetData>
  <mergeCells count="25">
    <mergeCell ref="A20:C20"/>
    <mergeCell ref="A21:C21"/>
    <mergeCell ref="A22:C22"/>
    <mergeCell ref="A23:C23"/>
    <mergeCell ref="A24:C24"/>
    <mergeCell ref="A25:C25"/>
    <mergeCell ref="A26:C26"/>
    <mergeCell ref="A27:C27"/>
    <mergeCell ref="A28:C28"/>
    <mergeCell ref="A29:C29"/>
    <mergeCell ref="A30:C30"/>
    <mergeCell ref="A31:C31"/>
    <mergeCell ref="A32:C32"/>
    <mergeCell ref="A36:C36"/>
    <mergeCell ref="A37:C37"/>
    <mergeCell ref="A38:C38"/>
    <mergeCell ref="A39:C39"/>
    <mergeCell ref="A40:C40"/>
    <mergeCell ref="A41:C41"/>
    <mergeCell ref="A42:C42"/>
    <mergeCell ref="A43:C43"/>
    <mergeCell ref="A44:C44"/>
    <mergeCell ref="A45:C45"/>
    <mergeCell ref="A46:J46"/>
    <mergeCell ref="A75:J75"/>
  </mergeCells>
  <conditionalFormatting sqref="D44">
    <cfRule type="expression" priority="2" aboveAverage="0" equalAverage="0" bottom="0" percent="0" rank="0" text="" dxfId="0">
      <formula>OR(LEFT(D44,6)="Uyumlu",LEFT(D44,5)="Tamam",LEFT(D44,5)="Uygun")</formula>
    </cfRule>
    <cfRule type="expression" priority="3" aboveAverage="0" equalAverage="0" bottom="0" percent="0" rank="0" text="" dxfId="1">
      <formula>NOT(OR(LEFT(D44,6)="Uyumlu",LEFT(D44,5)="Tamam",LEFT(D44,5)="Uygun",D44=""))</formula>
    </cfRule>
  </conditionalFormatting>
  <conditionalFormatting sqref="E44">
    <cfRule type="expression" priority="4" aboveAverage="0" equalAverage="0" bottom="0" percent="0" rank="0" text="" dxfId="0">
      <formula>OR(LEFT(E44,6)="Uyumlu",LEFT(E44,5)="Tamam",LEFT(E44,5)="Uygun")</formula>
    </cfRule>
    <cfRule type="expression" priority="5" aboveAverage="0" equalAverage="0" bottom="0" percent="0" rank="0" text="" dxfId="1">
      <formula>NOT(OR(LEFT(E44,6)="Uyumlu",LEFT(E44,5)="Tamam",LEFT(E44,5)="Uygun",E44=""))</formula>
    </cfRule>
  </conditionalFormatting>
  <dataValidations count="2">
    <dataValidation allowBlank="true" errorStyle="stop" operator="between" showDropDown="false" showErrorMessage="false" showInputMessage="false" sqref="D22" type="list">
      <formula1>"E,H"</formula1>
      <formula2>0</formula2>
    </dataValidation>
    <dataValidation allowBlank="true" errorStyle="stop" operator="between" showDropDown="false" showErrorMessage="false" showInputMessage="false" sqref="D41:E41"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30"/>
    <col collapsed="false" customWidth="true" hidden="false" outlineLevel="0" max="3" min="3" style="1" width="16"/>
    <col collapsed="false" customWidth="true" hidden="false" outlineLevel="0" max="5" min="4" style="1" width="18"/>
    <col collapsed="false" customWidth="true" hidden="false" outlineLevel="0" max="6" min="6" style="1" width="16"/>
    <col collapsed="false" customWidth="true" hidden="false" outlineLevel="0" max="7" min="7" style="1" width="14"/>
    <col collapsed="false" customWidth="true" hidden="false" outlineLevel="0" max="8" min="8" style="1" width="18"/>
  </cols>
  <sheetData>
    <row r="1" customFormat="false" ht="17.25" hidden="false" customHeight="true" outlineLevel="0" collapsed="false">
      <c r="A1" s="18" t="s">
        <v>530</v>
      </c>
    </row>
    <row r="2" customFormat="false" ht="15" hidden="false" customHeight="true" outlineLevel="0" collapsed="false">
      <c r="A2" s="19" t="s">
        <v>531</v>
      </c>
    </row>
    <row r="3" customFormat="false" ht="15" hidden="false" customHeight="true" outlineLevel="0" collapsed="false">
      <c r="A3" s="20" t="s">
        <v>73</v>
      </c>
    </row>
    <row r="5" customFormat="false" ht="15" hidden="false" customHeight="true" outlineLevel="0" collapsed="false">
      <c r="A5" s="8" t="s">
        <v>532</v>
      </c>
      <c r="B5" s="9"/>
      <c r="C5" s="9"/>
      <c r="D5" s="9"/>
      <c r="E5" s="9"/>
      <c r="F5" s="9"/>
      <c r="G5" s="9"/>
      <c r="H5" s="9"/>
    </row>
    <row r="6" customFormat="false" ht="42" hidden="false" customHeight="true" outlineLevel="0" collapsed="false">
      <c r="A6" s="4" t="s">
        <v>468</v>
      </c>
      <c r="B6" s="4" t="s">
        <v>469</v>
      </c>
      <c r="C6" s="4" t="s">
        <v>533</v>
      </c>
      <c r="D6" s="4" t="s">
        <v>534</v>
      </c>
      <c r="E6" s="4" t="s">
        <v>535</v>
      </c>
      <c r="F6" s="4" t="s">
        <v>536</v>
      </c>
      <c r="G6" s="4" t="s">
        <v>537</v>
      </c>
      <c r="H6" s="4" t="s">
        <v>166</v>
      </c>
    </row>
    <row r="7" customFormat="false" ht="15" hidden="false" customHeight="true" outlineLevel="0" collapsed="false">
      <c r="A7" s="28" t="s">
        <v>538</v>
      </c>
      <c r="B7" s="28" t="s">
        <v>539</v>
      </c>
      <c r="C7" s="26" t="n">
        <v>5000000</v>
      </c>
      <c r="D7" s="26" t="n">
        <v>1750000</v>
      </c>
      <c r="E7" s="33" t="n">
        <f aca="false">IF(C7="","",IF($C$17=0,0,'Ek-3'!$E$11*C7/$C$17))</f>
        <v>250000</v>
      </c>
      <c r="F7" s="33" t="n">
        <f aca="false">IF(C7="","",C7-N(D7)-N(E7))</f>
        <v>3000000</v>
      </c>
      <c r="G7" s="28" t="s">
        <v>251</v>
      </c>
      <c r="H7" s="28"/>
    </row>
    <row r="8" customFormat="false" ht="15" hidden="false" customHeight="true" outlineLevel="0" collapsed="false">
      <c r="A8" s="28" t="s">
        <v>540</v>
      </c>
      <c r="B8" s="28" t="s">
        <v>541</v>
      </c>
      <c r="C8" s="26" t="n">
        <v>1000000</v>
      </c>
      <c r="D8" s="26" t="n">
        <v>1450000</v>
      </c>
      <c r="E8" s="33" t="n">
        <f aca="false">IF(C8="","",IF($C$17=0,0,'Ek-3'!$E$11*C8/$C$17))</f>
        <v>50000</v>
      </c>
      <c r="F8" s="33" t="n">
        <f aca="false">IF(C8="","",C8-N(D8)-N(E8))</f>
        <v>-500000</v>
      </c>
      <c r="G8" s="28" t="s">
        <v>251</v>
      </c>
      <c r="H8" s="28"/>
    </row>
    <row r="9" customFormat="false" ht="15" hidden="false" customHeight="true" outlineLevel="0" collapsed="false">
      <c r="A9" s="28"/>
      <c r="B9" s="28"/>
      <c r="C9" s="26"/>
      <c r="D9" s="26"/>
      <c r="E9" s="33" t="str">
        <f aca="false">IF(C9="","",IF($C$17=0,0,'Ek-3'!$E$11*C9/$C$17))</f>
        <v/>
      </c>
      <c r="F9" s="33" t="str">
        <f aca="false">IF(C9="","",C9-N(D9)-N(E9))</f>
        <v/>
      </c>
      <c r="G9" s="28"/>
      <c r="H9" s="28"/>
    </row>
    <row r="10" customFormat="false" ht="15" hidden="false" customHeight="true" outlineLevel="0" collapsed="false">
      <c r="A10" s="28"/>
      <c r="B10" s="28"/>
      <c r="C10" s="26"/>
      <c r="D10" s="26"/>
      <c r="E10" s="33" t="str">
        <f aca="false">IF(C10="","",IF($C$17=0,0,'Ek-3'!$E$11*C10/$C$17))</f>
        <v/>
      </c>
      <c r="F10" s="33" t="str">
        <f aca="false">IF(C10="","",C10-N(D10)-N(E10))</f>
        <v/>
      </c>
      <c r="G10" s="28"/>
      <c r="H10" s="28"/>
    </row>
    <row r="11" customFormat="false" ht="15" hidden="false" customHeight="true" outlineLevel="0" collapsed="false">
      <c r="A11" s="28"/>
      <c r="B11" s="28"/>
      <c r="C11" s="26"/>
      <c r="D11" s="26"/>
      <c r="E11" s="33" t="str">
        <f aca="false">IF(C11="","",IF($C$17=0,0,'Ek-3'!$E$11*C11/$C$17))</f>
        <v/>
      </c>
      <c r="F11" s="33" t="str">
        <f aca="false">IF(C11="","",C11-N(D11)-N(E11))</f>
        <v/>
      </c>
      <c r="G11" s="28"/>
      <c r="H11" s="28"/>
    </row>
    <row r="12" customFormat="false" ht="15" hidden="false" customHeight="true" outlineLevel="0" collapsed="false">
      <c r="A12" s="28"/>
      <c r="B12" s="28"/>
      <c r="C12" s="26"/>
      <c r="D12" s="26"/>
      <c r="E12" s="33" t="str">
        <f aca="false">IF(C12="","",IF($C$17=0,0,'Ek-3'!$E$11*C12/$C$17))</f>
        <v/>
      </c>
      <c r="F12" s="33" t="str">
        <f aca="false">IF(C12="","",C12-N(D12)-N(E12))</f>
        <v/>
      </c>
      <c r="G12" s="28"/>
      <c r="H12" s="28"/>
    </row>
    <row r="13" customFormat="false" ht="15" hidden="false" customHeight="true" outlineLevel="0" collapsed="false">
      <c r="A13" s="28"/>
      <c r="B13" s="28"/>
      <c r="C13" s="26"/>
      <c r="D13" s="26"/>
      <c r="E13" s="33" t="str">
        <f aca="false">IF(C13="","",IF($C$17=0,0,'Ek-3'!$E$11*C13/$C$17))</f>
        <v/>
      </c>
      <c r="F13" s="33" t="str">
        <f aca="false">IF(C13="","",C13-N(D13)-N(E13))</f>
        <v/>
      </c>
      <c r="G13" s="28"/>
      <c r="H13" s="28"/>
    </row>
    <row r="14" customFormat="false" ht="15" hidden="false" customHeight="true" outlineLevel="0" collapsed="false">
      <c r="A14" s="28"/>
      <c r="B14" s="28"/>
      <c r="C14" s="26"/>
      <c r="D14" s="26"/>
      <c r="E14" s="33" t="str">
        <f aca="false">IF(C14="","",IF($C$17=0,0,'Ek-3'!$E$11*C14/$C$17))</f>
        <v/>
      </c>
      <c r="F14" s="33" t="str">
        <f aca="false">IF(C14="","",C14-N(D14)-N(E14))</f>
        <v/>
      </c>
      <c r="G14" s="28"/>
      <c r="H14" s="28"/>
    </row>
    <row r="15" customFormat="false" ht="15" hidden="false" customHeight="true" outlineLevel="0" collapsed="false">
      <c r="A15" s="28"/>
      <c r="B15" s="28"/>
      <c r="C15" s="26"/>
      <c r="D15" s="26"/>
      <c r="E15" s="33" t="str">
        <f aca="false">IF(C15="","",IF($C$17=0,0,'Ek-3'!$E$11*C15/$C$17))</f>
        <v/>
      </c>
      <c r="F15" s="33" t="str">
        <f aca="false">IF(C15="","",C15-N(D15)-N(E15))</f>
        <v/>
      </c>
      <c r="G15" s="28"/>
      <c r="H15" s="28"/>
    </row>
    <row r="16" customFormat="false" ht="15" hidden="false" customHeight="true" outlineLevel="0" collapsed="false">
      <c r="A16" s="28"/>
      <c r="B16" s="28"/>
      <c r="C16" s="26"/>
      <c r="D16" s="26"/>
      <c r="E16" s="33" t="str">
        <f aca="false">IF(C16="","",IF($C$17=0,0,'Ek-3'!$E$11*C16/$C$17))</f>
        <v/>
      </c>
      <c r="F16" s="33" t="str">
        <f aca="false">IF(C16="","",C16-N(D16)-N(E16))</f>
        <v/>
      </c>
      <c r="G16" s="28"/>
      <c r="H16" s="28"/>
    </row>
    <row r="17" customFormat="false" ht="15" hidden="false" customHeight="true" outlineLevel="0" collapsed="false">
      <c r="B17" s="31" t="s">
        <v>173</v>
      </c>
      <c r="C17" s="27" t="n">
        <f aca="false">SUM(C7:C16)</f>
        <v>6000000</v>
      </c>
      <c r="D17" s="27" t="n">
        <f aca="false">SUM(D7:D16)</f>
        <v>3200000</v>
      </c>
      <c r="E17" s="27" t="n">
        <f aca="false">SUM(E7:E16)</f>
        <v>300000</v>
      </c>
      <c r="F17" s="27" t="n">
        <f aca="false">SUMIF(G7:G16,"E",F7:F16)</f>
        <v>2500000</v>
      </c>
    </row>
    <row r="18" customFormat="false" ht="15" hidden="false" customHeight="true" outlineLevel="0" collapsed="false">
      <c r="A18" s="5" t="s">
        <v>542</v>
      </c>
      <c r="B18" s="5"/>
      <c r="C18" s="5"/>
      <c r="D18" s="5"/>
      <c r="E18" s="5"/>
      <c r="F18" s="26" t="n">
        <v>0</v>
      </c>
    </row>
    <row r="19" customFormat="false" ht="15" hidden="false" customHeight="true" outlineLevel="0" collapsed="false">
      <c r="A19" s="5" t="s">
        <v>543</v>
      </c>
      <c r="B19" s="5"/>
      <c r="C19" s="5"/>
      <c r="D19" s="5"/>
      <c r="E19" s="5"/>
      <c r="F19" s="27" t="n">
        <f aca="false">MAX(0,F17-F18)</f>
        <v>2500000</v>
      </c>
    </row>
    <row r="20" customFormat="false" ht="15" hidden="false" customHeight="true" outlineLevel="0" collapsed="false">
      <c r="A20" s="5" t="s">
        <v>544</v>
      </c>
      <c r="B20" s="5"/>
      <c r="C20" s="5"/>
      <c r="D20" s="5"/>
      <c r="E20" s="5"/>
      <c r="F20" s="27" t="n">
        <f aca="false">SUMIF(G7:G16,"H",F7:F16)</f>
        <v>0</v>
      </c>
    </row>
    <row r="22" customFormat="false" ht="15" hidden="false" customHeight="true" outlineLevel="0" collapsed="false">
      <c r="A22" s="8" t="s">
        <v>545</v>
      </c>
      <c r="B22" s="9"/>
      <c r="C22" s="9"/>
      <c r="D22" s="9"/>
      <c r="E22" s="9"/>
      <c r="F22" s="9"/>
      <c r="G22" s="9"/>
      <c r="H22" s="9"/>
    </row>
    <row r="23" customFormat="false" ht="15" hidden="false" customHeight="true" outlineLevel="0" collapsed="false">
      <c r="A23" s="6" t="s">
        <v>546</v>
      </c>
      <c r="B23" s="6"/>
      <c r="C23" s="6"/>
      <c r="D23" s="6"/>
      <c r="E23" s="6"/>
      <c r="F23" s="12" t="str">
        <f aca="false">IF(ROUND(C17-'Ek-3'!E6,0)=0,"Uyumlu","Fark var")</f>
        <v>Uyumlu</v>
      </c>
    </row>
    <row r="24" customFormat="false" ht="15" hidden="false" customHeight="true" outlineLevel="0" collapsed="false">
      <c r="A24" s="6" t="s">
        <v>547</v>
      </c>
      <c r="B24" s="6"/>
      <c r="C24" s="6"/>
      <c r="D24" s="6"/>
      <c r="E24" s="6"/>
      <c r="F24" s="12" t="str">
        <f aca="false">IF(ROUND(D17-('Ek-3'!E7+'Ek-3'!E9),0)=0,"Uyumlu","Fark var")</f>
        <v>Uyumlu</v>
      </c>
    </row>
    <row r="25" customFormat="false" ht="15" hidden="false" customHeight="true" outlineLevel="0" collapsed="false">
      <c r="A25" s="6" t="s">
        <v>548</v>
      </c>
      <c r="B25" s="6"/>
      <c r="C25" s="6"/>
      <c r="D25" s="6"/>
      <c r="E25" s="6"/>
      <c r="F25" s="12" t="str">
        <f aca="false">IF(ROUND(F17+F20-'Ek-3'!E13,0)=0,"Uyumlu","Fark var")</f>
        <v>Uyumlu</v>
      </c>
    </row>
    <row r="26" customFormat="false" ht="43.5" hidden="false" customHeight="true" outlineLevel="0" collapsed="false">
      <c r="A26" s="17" t="s">
        <v>549</v>
      </c>
      <c r="B26" s="17"/>
      <c r="C26" s="17"/>
      <c r="D26" s="17"/>
      <c r="E26" s="17"/>
      <c r="F26" s="17"/>
      <c r="G26" s="17"/>
      <c r="H26" s="17"/>
    </row>
    <row r="28" customFormat="false" ht="15" hidden="false" customHeight="true" outlineLevel="0" collapsed="false">
      <c r="A28" s="8" t="s">
        <v>550</v>
      </c>
      <c r="B28" s="9"/>
      <c r="C28" s="9"/>
      <c r="D28" s="9"/>
      <c r="E28" s="9"/>
      <c r="F28" s="9"/>
      <c r="G28" s="9"/>
      <c r="H28" s="9"/>
    </row>
    <row r="29" customFormat="false" ht="42" hidden="false" customHeight="true" outlineLevel="0" collapsed="false">
      <c r="A29" s="4" t="s">
        <v>181</v>
      </c>
      <c r="B29" s="4" t="s">
        <v>182</v>
      </c>
      <c r="C29" s="4" t="s">
        <v>551</v>
      </c>
      <c r="D29" s="4" t="s">
        <v>552</v>
      </c>
      <c r="E29" s="4"/>
      <c r="F29" s="4"/>
      <c r="G29" s="4"/>
      <c r="H29" s="4"/>
    </row>
    <row r="30" customFormat="false" ht="15" hidden="false" customHeight="true" outlineLevel="0" collapsed="false">
      <c r="A30" s="6" t="s">
        <v>184</v>
      </c>
      <c r="B30" s="21" t="n">
        <v>48</v>
      </c>
      <c r="C30" s="21" t="n">
        <v>12</v>
      </c>
      <c r="D30" s="21" t="n">
        <v>1</v>
      </c>
    </row>
    <row r="31" customFormat="false" ht="15" hidden="false" customHeight="true" outlineLevel="0" collapsed="false">
      <c r="A31" s="6" t="s">
        <v>185</v>
      </c>
      <c r="B31" s="21"/>
      <c r="C31" s="21"/>
      <c r="D31" s="21"/>
    </row>
    <row r="32" customFormat="false" ht="15" hidden="false" customHeight="true" outlineLevel="0" collapsed="false">
      <c r="A32" s="6" t="s">
        <v>186</v>
      </c>
      <c r="B32" s="21"/>
      <c r="C32" s="21"/>
      <c r="D32" s="21"/>
    </row>
    <row r="33" customFormat="false" ht="15" hidden="false" customHeight="true" outlineLevel="0" collapsed="false">
      <c r="A33" s="6" t="s">
        <v>187</v>
      </c>
      <c r="B33" s="21"/>
      <c r="C33" s="21"/>
      <c r="D33" s="21"/>
    </row>
    <row r="34" customFormat="false" ht="15" hidden="false" customHeight="true" outlineLevel="0" collapsed="false">
      <c r="A34" s="6" t="s">
        <v>188</v>
      </c>
      <c r="B34" s="21"/>
      <c r="C34" s="21"/>
      <c r="D34" s="21"/>
    </row>
    <row r="35" customFormat="false" ht="15" hidden="false" customHeight="true" outlineLevel="0" collapsed="false">
      <c r="A35" s="6" t="s">
        <v>189</v>
      </c>
      <c r="B35" s="21"/>
      <c r="C35" s="21"/>
      <c r="D35" s="21"/>
    </row>
    <row r="36" customFormat="false" ht="15" hidden="false" customHeight="true" outlineLevel="0" collapsed="false">
      <c r="A36" s="6" t="s">
        <v>190</v>
      </c>
      <c r="B36" s="21"/>
      <c r="C36" s="21"/>
      <c r="D36" s="21"/>
    </row>
    <row r="37" customFormat="false" ht="15" hidden="false" customHeight="true" outlineLevel="0" collapsed="false">
      <c r="A37" s="6" t="s">
        <v>191</v>
      </c>
      <c r="B37" s="21"/>
      <c r="C37" s="21"/>
      <c r="D37" s="21"/>
    </row>
    <row r="38" customFormat="false" ht="15" hidden="false" customHeight="true" outlineLevel="0" collapsed="false">
      <c r="A38" s="6" t="s">
        <v>192</v>
      </c>
      <c r="B38" s="21"/>
      <c r="C38" s="21"/>
      <c r="D38" s="21"/>
    </row>
    <row r="39" customFormat="false" ht="15" hidden="false" customHeight="true" outlineLevel="0" collapsed="false">
      <c r="A39" s="6" t="s">
        <v>193</v>
      </c>
      <c r="B39" s="21"/>
      <c r="C39" s="21"/>
      <c r="D39" s="21"/>
    </row>
    <row r="40" customFormat="false" ht="15" hidden="false" customHeight="true" outlineLevel="0" collapsed="false">
      <c r="A40" s="6" t="s">
        <v>194</v>
      </c>
      <c r="B40" s="21"/>
      <c r="C40" s="21"/>
      <c r="D40" s="21"/>
    </row>
    <row r="41" customFormat="false" ht="15" hidden="false" customHeight="true" outlineLevel="0" collapsed="false">
      <c r="A41" s="6" t="s">
        <v>195</v>
      </c>
      <c r="B41" s="21"/>
      <c r="C41" s="21"/>
      <c r="D41" s="21"/>
    </row>
    <row r="42" customFormat="false" ht="15" hidden="false" customHeight="true" outlineLevel="0" collapsed="false">
      <c r="A42" s="31" t="s">
        <v>196</v>
      </c>
      <c r="B42" s="32" t="n">
        <f aca="false">IFERROR(AVERAGE(B30:B41),0)</f>
        <v>48</v>
      </c>
      <c r="C42" s="32" t="n">
        <f aca="false">IFERROR(AVERAGE(C30:C41),0)</f>
        <v>12</v>
      </c>
      <c r="D42" s="32" t="n">
        <f aca="false">IFERROR(AVERAGE(D30:D41),0)</f>
        <v>1</v>
      </c>
    </row>
  </sheetData>
  <mergeCells count="7">
    <mergeCell ref="A18:E18"/>
    <mergeCell ref="A19:E19"/>
    <mergeCell ref="A20:E20"/>
    <mergeCell ref="A23:E23"/>
    <mergeCell ref="A24:E24"/>
    <mergeCell ref="A25:E25"/>
    <mergeCell ref="A26:H26"/>
  </mergeCells>
  <conditionalFormatting sqref="F23">
    <cfRule type="expression" priority="2" aboveAverage="0" equalAverage="0" bottom="0" percent="0" rank="0" text="" dxfId="0">
      <formula>OR(LEFT(F23,6)="Uyumlu",LEFT(F23,5)="Tamam",LEFT(F23,5)="Uygun")</formula>
    </cfRule>
    <cfRule type="expression" priority="3" aboveAverage="0" equalAverage="0" bottom="0" percent="0" rank="0" text="" dxfId="1">
      <formula>NOT(OR(LEFT(F23,6)="Uyumlu",LEFT(F23,5)="Tamam",LEFT(F23,5)="Uygun",F23=""))</formula>
    </cfRule>
  </conditionalFormatting>
  <conditionalFormatting sqref="F24">
    <cfRule type="expression" priority="4" aboveAverage="0" equalAverage="0" bottom="0" percent="0" rank="0" text="" dxfId="0">
      <formula>OR(LEFT(F24,6)="Uyumlu",LEFT(F24,5)="Tamam",LEFT(F24,5)="Uygun")</formula>
    </cfRule>
    <cfRule type="expression" priority="5" aboveAverage="0" equalAverage="0" bottom="0" percent="0" rank="0" text="" dxfId="1">
      <formula>NOT(OR(LEFT(F24,6)="Uyumlu",LEFT(F24,5)="Tamam",LEFT(F24,5)="Uygun",F24=""))</formula>
    </cfRule>
  </conditionalFormatting>
  <conditionalFormatting sqref="F25">
    <cfRule type="expression" priority="6" aboveAverage="0" equalAverage="0" bottom="0" percent="0" rank="0" text="" dxfId="0">
      <formula>OR(LEFT(F25,6)="Uyumlu",LEFT(F25,5)="Tamam",LEFT(F25,5)="Uygun")</formula>
    </cfRule>
    <cfRule type="expression" priority="7" aboveAverage="0" equalAverage="0" bottom="0" percent="0" rank="0" text="" dxfId="1">
      <formula>NOT(OR(LEFT(F25,6)="Uyumlu",LEFT(F25,5)="Tamam",LEFT(F25,5)="Uygun",F25=""))</formula>
    </cfRule>
  </conditionalFormatting>
  <dataValidations count="1">
    <dataValidation allowBlank="true" errorStyle="stop" operator="between" showDropDown="false" showErrorMessage="false" showInputMessage="false" sqref="G7:G16"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7"/>
    <col collapsed="false" customWidth="true" hidden="false" outlineLevel="0" max="2" min="2" style="1" width="10"/>
    <col collapsed="false" customWidth="true" hidden="false" outlineLevel="0" max="5" min="3" style="1" width="15"/>
    <col collapsed="false" customWidth="true" hidden="false" outlineLevel="0" max="6" min="6" style="1" width="16"/>
    <col collapsed="false" customWidth="true" hidden="false" outlineLevel="0" max="10" min="7" style="1" width="15"/>
    <col collapsed="false" customWidth="true" hidden="false" outlineLevel="0" max="11" min="11" style="1" width="16"/>
    <col collapsed="false" customWidth="true" hidden="false" outlineLevel="0" max="12" min="12" style="1" width="15"/>
    <col collapsed="false" customWidth="true" hidden="false" outlineLevel="0" max="13" min="13" style="1" width="13"/>
    <col collapsed="false" customWidth="true" hidden="false" outlineLevel="0" max="14" min="14" style="1" width="16"/>
  </cols>
  <sheetData>
    <row r="1" customFormat="false" ht="17.25" hidden="false" customHeight="true" outlineLevel="0" collapsed="false">
      <c r="A1" s="18" t="s">
        <v>553</v>
      </c>
    </row>
    <row r="2" customFormat="false" ht="15" hidden="false" customHeight="true" outlineLevel="0" collapsed="false">
      <c r="A2" s="19" t="s">
        <v>554</v>
      </c>
    </row>
    <row r="3" customFormat="false" ht="15" hidden="false" customHeight="true" outlineLevel="0" collapsed="false">
      <c r="A3" s="20" t="s">
        <v>73</v>
      </c>
    </row>
    <row r="5" customFormat="false" ht="15" hidden="false" customHeight="true" outlineLevel="0" collapsed="false">
      <c r="A5" s="8" t="s">
        <v>555</v>
      </c>
      <c r="B5" s="9"/>
      <c r="C5" s="9"/>
      <c r="D5" s="9"/>
      <c r="E5" s="9"/>
      <c r="F5" s="9"/>
      <c r="G5" s="9"/>
      <c r="H5" s="9"/>
      <c r="I5" s="9"/>
      <c r="J5" s="9"/>
      <c r="K5" s="9"/>
      <c r="L5" s="9"/>
      <c r="M5" s="9"/>
      <c r="N5" s="9"/>
    </row>
    <row r="6" customFormat="false" ht="15" hidden="false" customHeight="true" outlineLevel="0" collapsed="false">
      <c r="A6" s="6" t="s">
        <v>556</v>
      </c>
      <c r="B6" s="6"/>
      <c r="C6" s="6"/>
      <c r="D6" s="28" t="s">
        <v>557</v>
      </c>
    </row>
    <row r="7" customFormat="false" ht="15" hidden="false" customHeight="true" outlineLevel="0" collapsed="false">
      <c r="A7" s="6" t="s">
        <v>558</v>
      </c>
      <c r="B7" s="6"/>
      <c r="C7" s="6"/>
      <c r="D7" s="29" t="n">
        <v>45870</v>
      </c>
    </row>
    <row r="8" customFormat="false" ht="15" hidden="false" customHeight="true" outlineLevel="0" collapsed="false">
      <c r="A8" s="6" t="s">
        <v>559</v>
      </c>
      <c r="B8" s="6"/>
      <c r="C8" s="6"/>
      <c r="D8" s="29" t="n">
        <v>45915</v>
      </c>
    </row>
    <row r="9" customFormat="false" ht="15" hidden="false" customHeight="true" outlineLevel="0" collapsed="false">
      <c r="A9" s="5" t="s">
        <v>560</v>
      </c>
      <c r="B9" s="5"/>
      <c r="C9" s="5"/>
      <c r="D9" s="12" t="str">
        <f aca="false">IF(OR(D8&lt;DATE(2025,7,24),D7&lt;DATE(2025,6,16)),"7555 öncesi hükümler","7555 sonrası hükümler")</f>
        <v>7555 sonrası hükümler</v>
      </c>
      <c r="E9" s="12"/>
      <c r="F9" s="12"/>
      <c r="G9" s="12"/>
      <c r="H9" s="12"/>
    </row>
    <row r="10" customFormat="false" ht="34.5" hidden="false" customHeight="true" outlineLevel="0" collapsed="false">
      <c r="A10" s="5" t="s">
        <v>561</v>
      </c>
      <c r="B10" s="5"/>
      <c r="C10" s="5"/>
      <c r="D10" s="12" t="str">
        <f aca="false">IF(D8&lt;DATE(2024,8,2),"Evet","Hayır")</f>
        <v>Hayır</v>
      </c>
      <c r="E10" s="12"/>
      <c r="F10" s="12"/>
      <c r="G10" s="12"/>
      <c r="H10" s="12"/>
    </row>
    <row r="11" customFormat="false" ht="15" hidden="false" customHeight="true" outlineLevel="0" collapsed="false">
      <c r="A11" s="6" t="s">
        <v>562</v>
      </c>
      <c r="B11" s="6"/>
      <c r="C11" s="6"/>
      <c r="D11" s="23" t="n">
        <v>0.4</v>
      </c>
    </row>
    <row r="12" customFormat="false" ht="23.25" hidden="false" customHeight="true" outlineLevel="0" collapsed="false">
      <c r="A12" s="6" t="s">
        <v>563</v>
      </c>
      <c r="B12" s="6"/>
      <c r="C12" s="6"/>
      <c r="D12" s="23" t="n">
        <v>0.6</v>
      </c>
    </row>
    <row r="13" customFormat="false" ht="15" hidden="false" customHeight="true" outlineLevel="0" collapsed="false">
      <c r="A13" s="5" t="s">
        <v>451</v>
      </c>
      <c r="B13" s="5"/>
      <c r="C13" s="5"/>
      <c r="D13" s="34" t="n">
        <f aca="false">Parametreler!D8</f>
        <v>0.25</v>
      </c>
    </row>
    <row r="14" customFormat="false" ht="15" hidden="false" customHeight="true" outlineLevel="0" collapsed="false">
      <c r="A14" s="5" t="s">
        <v>564</v>
      </c>
      <c r="B14" s="5"/>
      <c r="C14" s="5"/>
      <c r="D14" s="34" t="n">
        <f aca="false">D13*(1-D12)</f>
        <v>0.1</v>
      </c>
    </row>
    <row r="15" customFormat="false" ht="23.25" hidden="false" customHeight="true" outlineLevel="0" collapsed="false">
      <c r="A15" s="6" t="s">
        <v>565</v>
      </c>
      <c r="B15" s="6"/>
      <c r="C15" s="6"/>
      <c r="D15" s="26" t="n">
        <v>30000000</v>
      </c>
    </row>
    <row r="16" customFormat="false" ht="15" hidden="false" customHeight="true" outlineLevel="0" collapsed="false">
      <c r="A16" s="5" t="s">
        <v>566</v>
      </c>
      <c r="B16" s="5"/>
      <c r="C16" s="5"/>
      <c r="D16" s="27" t="n">
        <f aca="false">D15*D11</f>
        <v>12000000</v>
      </c>
    </row>
    <row r="17" customFormat="false" ht="34.5" hidden="false" customHeight="true" outlineLevel="0" collapsed="false">
      <c r="A17" s="6" t="s">
        <v>567</v>
      </c>
      <c r="B17" s="6"/>
      <c r="C17" s="6"/>
      <c r="D17" s="23" t="n">
        <v>0.5</v>
      </c>
    </row>
    <row r="18" customFormat="false" ht="23.25" hidden="false" customHeight="true" outlineLevel="0" collapsed="false">
      <c r="A18" s="5" t="s">
        <v>568</v>
      </c>
      <c r="B18" s="5"/>
      <c r="C18" s="5"/>
      <c r="D18" s="27" t="n">
        <f aca="false">D16*D17</f>
        <v>6000000</v>
      </c>
    </row>
    <row r="19" customFormat="false" ht="23.25" hidden="false" customHeight="true" outlineLevel="0" collapsed="false">
      <c r="A19" s="6" t="s">
        <v>569</v>
      </c>
      <c r="B19" s="6"/>
      <c r="C19" s="6"/>
      <c r="D19" s="21" t="n">
        <v>2026</v>
      </c>
    </row>
    <row r="20" customFormat="false" ht="15" hidden="false" customHeight="true" outlineLevel="0" collapsed="false">
      <c r="A20" s="5" t="s">
        <v>570</v>
      </c>
      <c r="B20" s="5"/>
      <c r="C20" s="5"/>
      <c r="D20" s="12" t="str">
        <f aca="false">IF(D9="7555 sonrası hükümler","İlk dönem dahil en fazla 10 hesap dönemi","Bu tabloda süre sınırı uygulanmaz (eski hükümler)")</f>
        <v>İlk dönem dahil en fazla 10 hesap dönemi</v>
      </c>
      <c r="E20" s="12"/>
      <c r="F20" s="12"/>
      <c r="G20" s="12"/>
      <c r="H20" s="12"/>
    </row>
    <row r="22" customFormat="false" ht="15" hidden="false" customHeight="true" outlineLevel="0" collapsed="false">
      <c r="A22" s="8" t="s">
        <v>571</v>
      </c>
      <c r="B22" s="9"/>
      <c r="C22" s="9"/>
      <c r="D22" s="9"/>
      <c r="E22" s="9"/>
      <c r="F22" s="9"/>
      <c r="G22" s="9"/>
      <c r="H22" s="9"/>
      <c r="I22" s="9"/>
      <c r="J22" s="9"/>
      <c r="K22" s="9"/>
      <c r="L22" s="9"/>
      <c r="M22" s="9"/>
      <c r="N22" s="9"/>
    </row>
    <row r="23" customFormat="false" ht="42" hidden="false" customHeight="true" outlineLevel="0" collapsed="false">
      <c r="A23" s="4" t="s">
        <v>572</v>
      </c>
      <c r="B23" s="4" t="s">
        <v>211</v>
      </c>
      <c r="C23" s="4" t="s">
        <v>573</v>
      </c>
      <c r="D23" s="4" t="s">
        <v>574</v>
      </c>
      <c r="E23" s="4" t="s">
        <v>575</v>
      </c>
      <c r="F23" s="4" t="s">
        <v>576</v>
      </c>
      <c r="G23" s="4" t="s">
        <v>577</v>
      </c>
      <c r="H23" s="4" t="s">
        <v>578</v>
      </c>
      <c r="I23" s="4" t="s">
        <v>579</v>
      </c>
      <c r="J23" s="4" t="s">
        <v>580</v>
      </c>
      <c r="K23" s="4" t="s">
        <v>581</v>
      </c>
      <c r="L23" s="4" t="s">
        <v>582</v>
      </c>
      <c r="M23" s="4" t="s">
        <v>583</v>
      </c>
      <c r="N23" s="4" t="s">
        <v>368</v>
      </c>
    </row>
    <row r="24" customFormat="false" ht="15" hidden="false" customHeight="true" outlineLevel="0" collapsed="false">
      <c r="A24" s="22" t="n">
        <v>1</v>
      </c>
      <c r="B24" s="41" t="n">
        <f aca="false">$D$19+0</f>
        <v>2026</v>
      </c>
      <c r="C24" s="26" t="n">
        <v>15000000</v>
      </c>
      <c r="D24" s="33" t="n">
        <f aca="false">IF(C24="",0,MIN($D$16,C24*$D$11))</f>
        <v>6000000</v>
      </c>
      <c r="E24" s="26" t="n">
        <v>0</v>
      </c>
      <c r="F24" s="33" t="n">
        <f aca="false">'Ek-5'!D18</f>
        <v>8671269.86271605</v>
      </c>
      <c r="G24" s="33" t="n">
        <f aca="false">MAX(0,MIN(N(E24)*($D$13-$D$14),D24-0))</f>
        <v>0</v>
      </c>
      <c r="H24" s="33" t="n">
        <f aca="false">IF(0&gt;=4,0,MAX(0,MIN(N(F24)*($D$13-$D$14),$D$18-0,D24-0-G24)))</f>
        <v>1300690.47940741</v>
      </c>
      <c r="I24" s="33" t="n">
        <f aca="false">G24+H24</f>
        <v>1300690.47940741</v>
      </c>
      <c r="J24" s="33" t="n">
        <f aca="false">I24</f>
        <v>1300690.47940741</v>
      </c>
      <c r="K24" s="33" t="n">
        <f aca="false">IF($D$9="7555 sonrası hükümler",MAX(0,I24-N(J24)),0)</f>
        <v>0</v>
      </c>
      <c r="L24" s="33" t="n">
        <f aca="false">$D$16-SUM($J$24:J24)-SUM($K$24:K24)</f>
        <v>10699309.5205926</v>
      </c>
      <c r="M24" s="33" t="n">
        <f aca="false">MAX(0,N(J24)-G24)</f>
        <v>1300690.47940741</v>
      </c>
      <c r="N24" s="22" t="str">
        <f aca="false">IF(N(J24)&gt;I24+0.5,"Hata: kullanılabilir tutarı aşıyor","Tamam")</f>
        <v>Tamam</v>
      </c>
    </row>
    <row r="25" customFormat="false" ht="15" hidden="false" customHeight="true" outlineLevel="0" collapsed="false">
      <c r="A25" s="22" t="n">
        <v>2</v>
      </c>
      <c r="B25" s="41" t="n">
        <f aca="false">$D$19+1</f>
        <v>2027</v>
      </c>
      <c r="C25" s="26" t="n">
        <v>30000000</v>
      </c>
      <c r="D25" s="33" t="n">
        <f aca="false">IF(C25="",D24,MIN($D$16,C25*$D$11))</f>
        <v>12000000</v>
      </c>
      <c r="E25" s="26" t="n">
        <v>0</v>
      </c>
      <c r="F25" s="26" t="n">
        <v>3000000</v>
      </c>
      <c r="G25" s="33" t="n">
        <f aca="false">MAX(0,MIN(N(E25)*($D$13-$D$14),D25-(SUM($J$24:J24)+SUM($K$24:K24))))</f>
        <v>0</v>
      </c>
      <c r="H25" s="33" t="n">
        <f aca="false">IF(1&gt;=4,0,MAX(0,MIN(N(F25)*($D$13-$D$14),$D$18-SUM($M$24:M24),D25-(SUM($J$24:J24)+SUM($K$24:K24))-G25)))</f>
        <v>450000</v>
      </c>
      <c r="I25" s="33" t="n">
        <f aca="false">G25+H25</f>
        <v>450000</v>
      </c>
      <c r="J25" s="26" t="n">
        <v>200000</v>
      </c>
      <c r="K25" s="33" t="n">
        <f aca="false">IF($D$9="7555 sonrası hükümler",MAX(0,I25-N(J25)),0)</f>
        <v>250000</v>
      </c>
      <c r="L25" s="33" t="n">
        <f aca="false">$D$16-SUM($J$24:J25)-SUM($K$24:K25)</f>
        <v>10249309.5205926</v>
      </c>
      <c r="M25" s="33" t="n">
        <f aca="false">MAX(0,N(J25)-G25)</f>
        <v>200000</v>
      </c>
      <c r="N25" s="22" t="str">
        <f aca="false">IF(N(J25)&gt;I25+0.5,"Hata: kullanılabilir tutarı aşıyor","Tamam")</f>
        <v>Tamam</v>
      </c>
    </row>
    <row r="26" customFormat="false" ht="15" hidden="false" customHeight="true" outlineLevel="0" collapsed="false">
      <c r="A26" s="22" t="n">
        <v>3</v>
      </c>
      <c r="B26" s="41" t="n">
        <f aca="false">$D$19+2</f>
        <v>2028</v>
      </c>
      <c r="C26" s="26"/>
      <c r="D26" s="33" t="n">
        <f aca="false">IF(C26="",D25,MIN($D$16,C26*$D$11))</f>
        <v>12000000</v>
      </c>
      <c r="E26" s="26"/>
      <c r="F26" s="26"/>
      <c r="G26" s="33" t="n">
        <f aca="false">MAX(0,MIN(N(E26)*($D$13-$D$14),D26-(SUM($J$24:J25)+SUM($K$24:K25))))</f>
        <v>0</v>
      </c>
      <c r="H26" s="33" t="n">
        <f aca="false">IF(2&gt;=4,0,MAX(0,MIN(N(F26)*($D$13-$D$14),$D$18-SUM($M$24:M25),D26-(SUM($J$24:J25)+SUM($K$24:K25))-G26)))</f>
        <v>0</v>
      </c>
      <c r="I26" s="33" t="n">
        <f aca="false">G26+H26</f>
        <v>0</v>
      </c>
      <c r="J26" s="26"/>
      <c r="K26" s="33" t="n">
        <f aca="false">IF($D$9="7555 sonrası hükümler",MAX(0,I26-N(J26)),0)</f>
        <v>0</v>
      </c>
      <c r="L26" s="33" t="n">
        <f aca="false">$D$16-SUM($J$24:J26)-SUM($K$24:K26)</f>
        <v>10249309.5205926</v>
      </c>
      <c r="M26" s="33" t="n">
        <f aca="false">MAX(0,N(J26)-G26)</f>
        <v>0</v>
      </c>
      <c r="N26" s="22" t="str">
        <f aca="false">IF(N(J26)&gt;I26+0.5,"Hata: kullanılabilir tutarı aşıyor","Tamam")</f>
        <v>Tamam</v>
      </c>
    </row>
    <row r="27" customFormat="false" ht="15" hidden="false" customHeight="true" outlineLevel="0" collapsed="false">
      <c r="A27" s="22" t="n">
        <v>4</v>
      </c>
      <c r="B27" s="41" t="n">
        <f aca="false">$D$19+3</f>
        <v>2029</v>
      </c>
      <c r="C27" s="26"/>
      <c r="D27" s="33" t="n">
        <f aca="false">IF(C27="",D26,MIN($D$16,C27*$D$11))</f>
        <v>12000000</v>
      </c>
      <c r="E27" s="26"/>
      <c r="F27" s="26"/>
      <c r="G27" s="33" t="n">
        <f aca="false">MAX(0,MIN(N(E27)*($D$13-$D$14),D27-(SUM($J$24:J26)+SUM($K$24:K26))))</f>
        <v>0</v>
      </c>
      <c r="H27" s="33" t="n">
        <f aca="false">IF(3&gt;=4,0,MAX(0,MIN(N(F27)*($D$13-$D$14),$D$18-SUM($M$24:M26),D27-(SUM($J$24:J26)+SUM($K$24:K26))-G27)))</f>
        <v>0</v>
      </c>
      <c r="I27" s="33" t="n">
        <f aca="false">G27+H27</f>
        <v>0</v>
      </c>
      <c r="J27" s="26"/>
      <c r="K27" s="33" t="n">
        <f aca="false">IF($D$9="7555 sonrası hükümler",MAX(0,I27-N(J27)),0)</f>
        <v>0</v>
      </c>
      <c r="L27" s="33" t="n">
        <f aca="false">$D$16-SUM($J$24:J27)-SUM($K$24:K27)</f>
        <v>10249309.5205926</v>
      </c>
      <c r="M27" s="33" t="n">
        <f aca="false">MAX(0,N(J27)-G27)</f>
        <v>0</v>
      </c>
      <c r="N27" s="22" t="str">
        <f aca="false">IF(N(J27)&gt;I27+0.5,"Hata: kullanılabilir tutarı aşıyor","Tamam")</f>
        <v>Tamam</v>
      </c>
    </row>
    <row r="28" customFormat="false" ht="15" hidden="false" customHeight="true" outlineLevel="0" collapsed="false">
      <c r="A28" s="22" t="n">
        <v>5</v>
      </c>
      <c r="B28" s="41" t="n">
        <f aca="false">$D$19+4</f>
        <v>2030</v>
      </c>
      <c r="C28" s="26"/>
      <c r="D28" s="33" t="n">
        <f aca="false">IF(C28="",D27,MIN($D$16,C28*$D$11))</f>
        <v>12000000</v>
      </c>
      <c r="E28" s="26"/>
      <c r="F28" s="26"/>
      <c r="G28" s="33" t="n">
        <f aca="false">MAX(0,MIN(N(E28)*($D$13-$D$14),D28-(SUM($J$24:J27)+SUM($K$24:K27))))</f>
        <v>0</v>
      </c>
      <c r="H28" s="33" t="n">
        <f aca="false">IF(4&gt;=4,0,MAX(0,MIN(N(F28)*($D$13-$D$14),$D$18-SUM($M$24:M27),D28-(SUM($J$24:J27)+SUM($K$24:K27))-G28)))</f>
        <v>0</v>
      </c>
      <c r="I28" s="33" t="n">
        <f aca="false">G28+H28</f>
        <v>0</v>
      </c>
      <c r="J28" s="26"/>
      <c r="K28" s="33" t="n">
        <f aca="false">IF($D$9="7555 sonrası hükümler",MAX(0,I28-N(J28)),0)</f>
        <v>0</v>
      </c>
      <c r="L28" s="33" t="n">
        <f aca="false">$D$16-SUM($J$24:J28)-SUM($K$24:K28)</f>
        <v>10249309.5205926</v>
      </c>
      <c r="M28" s="33" t="n">
        <f aca="false">MAX(0,N(J28)-G28)</f>
        <v>0</v>
      </c>
      <c r="N28" s="22" t="str">
        <f aca="false">IF(N(J28)&gt;I28+0.5,"Hata: kullanılabilir tutarı aşıyor","Tamam")</f>
        <v>Tamam</v>
      </c>
    </row>
    <row r="29" customFormat="false" ht="15" hidden="false" customHeight="true" outlineLevel="0" collapsed="false">
      <c r="A29" s="22" t="n">
        <v>6</v>
      </c>
      <c r="B29" s="41" t="n">
        <f aca="false">$D$19+5</f>
        <v>2031</v>
      </c>
      <c r="C29" s="26"/>
      <c r="D29" s="33" t="n">
        <f aca="false">IF(C29="",D28,MIN($D$16,C29*$D$11))</f>
        <v>12000000</v>
      </c>
      <c r="E29" s="26"/>
      <c r="F29" s="26"/>
      <c r="G29" s="33" t="n">
        <f aca="false">MAX(0,MIN(N(E29)*($D$13-$D$14),D29-(SUM($J$24:J28)+SUM($K$24:K28))))</f>
        <v>0</v>
      </c>
      <c r="H29" s="33" t="n">
        <f aca="false">IF(5&gt;=4,0,MAX(0,MIN(N(F29)*($D$13-$D$14),$D$18-SUM($M$24:M28),D29-(SUM($J$24:J28)+SUM($K$24:K28))-G29)))</f>
        <v>0</v>
      </c>
      <c r="I29" s="33" t="n">
        <f aca="false">G29+H29</f>
        <v>0</v>
      </c>
      <c r="J29" s="26"/>
      <c r="K29" s="33" t="n">
        <f aca="false">IF($D$9="7555 sonrası hükümler",MAX(0,I29-N(J29)),0)</f>
        <v>0</v>
      </c>
      <c r="L29" s="33" t="n">
        <f aca="false">$D$16-SUM($J$24:J29)-SUM($K$24:K29)</f>
        <v>10249309.5205926</v>
      </c>
      <c r="M29" s="33" t="n">
        <f aca="false">MAX(0,N(J29)-G29)</f>
        <v>0</v>
      </c>
      <c r="N29" s="22" t="str">
        <f aca="false">IF(N(J29)&gt;I29+0.5,"Hata: kullanılabilir tutarı aşıyor","Tamam")</f>
        <v>Tamam</v>
      </c>
    </row>
    <row r="30" customFormat="false" ht="15" hidden="false" customHeight="true" outlineLevel="0" collapsed="false">
      <c r="A30" s="22" t="n">
        <v>7</v>
      </c>
      <c r="B30" s="41" t="n">
        <f aca="false">$D$19+6</f>
        <v>2032</v>
      </c>
      <c r="C30" s="26"/>
      <c r="D30" s="33" t="n">
        <f aca="false">IF(C30="",D29,MIN($D$16,C30*$D$11))</f>
        <v>12000000</v>
      </c>
      <c r="E30" s="26"/>
      <c r="F30" s="26"/>
      <c r="G30" s="33" t="n">
        <f aca="false">MAX(0,MIN(N(E30)*($D$13-$D$14),D30-(SUM($J$24:J29)+SUM($K$24:K29))))</f>
        <v>0</v>
      </c>
      <c r="H30" s="33" t="n">
        <f aca="false">IF(6&gt;=4,0,MAX(0,MIN(N(F30)*($D$13-$D$14),$D$18-SUM($M$24:M29),D30-(SUM($J$24:J29)+SUM($K$24:K29))-G30)))</f>
        <v>0</v>
      </c>
      <c r="I30" s="33" t="n">
        <f aca="false">G30+H30</f>
        <v>0</v>
      </c>
      <c r="J30" s="26"/>
      <c r="K30" s="33" t="n">
        <f aca="false">IF($D$9="7555 sonrası hükümler",MAX(0,I30-N(J30)),0)</f>
        <v>0</v>
      </c>
      <c r="L30" s="33" t="n">
        <f aca="false">$D$16-SUM($J$24:J30)-SUM($K$24:K30)</f>
        <v>10249309.5205926</v>
      </c>
      <c r="M30" s="33" t="n">
        <f aca="false">MAX(0,N(J30)-G30)</f>
        <v>0</v>
      </c>
      <c r="N30" s="22" t="str">
        <f aca="false">IF(N(J30)&gt;I30+0.5,"Hata: kullanılabilir tutarı aşıyor","Tamam")</f>
        <v>Tamam</v>
      </c>
    </row>
    <row r="31" customFormat="false" ht="15" hidden="false" customHeight="true" outlineLevel="0" collapsed="false">
      <c r="A31" s="22" t="n">
        <v>8</v>
      </c>
      <c r="B31" s="41" t="n">
        <f aca="false">$D$19+7</f>
        <v>2033</v>
      </c>
      <c r="C31" s="26"/>
      <c r="D31" s="33" t="n">
        <f aca="false">IF(C31="",D30,MIN($D$16,C31*$D$11))</f>
        <v>12000000</v>
      </c>
      <c r="E31" s="26"/>
      <c r="F31" s="26"/>
      <c r="G31" s="33" t="n">
        <f aca="false">MAX(0,MIN(N(E31)*($D$13-$D$14),D31-(SUM($J$24:J30)+SUM($K$24:K30))))</f>
        <v>0</v>
      </c>
      <c r="H31" s="33" t="n">
        <f aca="false">IF(7&gt;=4,0,MAX(0,MIN(N(F31)*($D$13-$D$14),$D$18-SUM($M$24:M30),D31-(SUM($J$24:J30)+SUM($K$24:K30))-G31)))</f>
        <v>0</v>
      </c>
      <c r="I31" s="33" t="n">
        <f aca="false">G31+H31</f>
        <v>0</v>
      </c>
      <c r="J31" s="26"/>
      <c r="K31" s="33" t="n">
        <f aca="false">IF($D$9="7555 sonrası hükümler",MAX(0,I31-N(J31)),0)</f>
        <v>0</v>
      </c>
      <c r="L31" s="33" t="n">
        <f aca="false">$D$16-SUM($J$24:J31)-SUM($K$24:K31)</f>
        <v>10249309.5205926</v>
      </c>
      <c r="M31" s="33" t="n">
        <f aca="false">MAX(0,N(J31)-G31)</f>
        <v>0</v>
      </c>
      <c r="N31" s="22" t="str">
        <f aca="false">IF(N(J31)&gt;I31+0.5,"Hata: kullanılabilir tutarı aşıyor","Tamam")</f>
        <v>Tamam</v>
      </c>
    </row>
    <row r="32" customFormat="false" ht="15" hidden="false" customHeight="true" outlineLevel="0" collapsed="false">
      <c r="A32" s="22" t="n">
        <v>9</v>
      </c>
      <c r="B32" s="41" t="n">
        <f aca="false">$D$19+8</f>
        <v>2034</v>
      </c>
      <c r="C32" s="26"/>
      <c r="D32" s="33" t="n">
        <f aca="false">IF(C32="",D31,MIN($D$16,C32*$D$11))</f>
        <v>12000000</v>
      </c>
      <c r="E32" s="26"/>
      <c r="F32" s="26"/>
      <c r="G32" s="33" t="n">
        <f aca="false">MAX(0,MIN(N(E32)*($D$13-$D$14),D32-(SUM($J$24:J31)+SUM($K$24:K31))))</f>
        <v>0</v>
      </c>
      <c r="H32" s="33" t="n">
        <f aca="false">IF(8&gt;=4,0,MAX(0,MIN(N(F32)*($D$13-$D$14),$D$18-SUM($M$24:M31),D32-(SUM($J$24:J31)+SUM($K$24:K31))-G32)))</f>
        <v>0</v>
      </c>
      <c r="I32" s="33" t="n">
        <f aca="false">G32+H32</f>
        <v>0</v>
      </c>
      <c r="J32" s="26"/>
      <c r="K32" s="33" t="n">
        <f aca="false">IF($D$9="7555 sonrası hükümler",MAX(0,I32-N(J32)),0)</f>
        <v>0</v>
      </c>
      <c r="L32" s="33" t="n">
        <f aca="false">$D$16-SUM($J$24:J32)-SUM($K$24:K32)</f>
        <v>10249309.5205926</v>
      </c>
      <c r="M32" s="33" t="n">
        <f aca="false">MAX(0,N(J32)-G32)</f>
        <v>0</v>
      </c>
      <c r="N32" s="22" t="str">
        <f aca="false">IF(N(J32)&gt;I32+0.5,"Hata: kullanılabilir tutarı aşıyor","Tamam")</f>
        <v>Tamam</v>
      </c>
    </row>
    <row r="33" customFormat="false" ht="15" hidden="false" customHeight="true" outlineLevel="0" collapsed="false">
      <c r="A33" s="22" t="n">
        <v>10</v>
      </c>
      <c r="B33" s="41" t="n">
        <f aca="false">$D$19+9</f>
        <v>2035</v>
      </c>
      <c r="C33" s="26"/>
      <c r="D33" s="33" t="n">
        <f aca="false">IF(C33="",D32,MIN($D$16,C33*$D$11))</f>
        <v>12000000</v>
      </c>
      <c r="E33" s="26"/>
      <c r="F33" s="26"/>
      <c r="G33" s="33" t="n">
        <f aca="false">MAX(0,MIN(N(E33)*($D$13-$D$14),D33-(SUM($J$24:J32)+SUM($K$24:K32))))</f>
        <v>0</v>
      </c>
      <c r="H33" s="33" t="n">
        <f aca="false">IF(9&gt;=4,0,MAX(0,MIN(N(F33)*($D$13-$D$14),$D$18-SUM($M$24:M32),D33-(SUM($J$24:J32)+SUM($K$24:K32))-G33)))</f>
        <v>0</v>
      </c>
      <c r="I33" s="33" t="n">
        <f aca="false">G33+H33</f>
        <v>0</v>
      </c>
      <c r="J33" s="26"/>
      <c r="K33" s="33" t="n">
        <f aca="false">IF($D$9="7555 sonrası hükümler",MAX(0,I33-N(J33)),0)</f>
        <v>0</v>
      </c>
      <c r="L33" s="33" t="n">
        <f aca="false">$D$16-SUM($J$24:J33)-SUM($K$24:K33)</f>
        <v>10249309.5205926</v>
      </c>
      <c r="M33" s="33" t="n">
        <f aca="false">MAX(0,N(J33)-G33)</f>
        <v>0</v>
      </c>
      <c r="N33" s="22" t="str">
        <f aca="false">IF(N(J33)&gt;I33+0.5,"Hata: kullanılabilir tutarı aşıyor","Tamam")</f>
        <v>Tamam</v>
      </c>
    </row>
    <row r="35" customFormat="false" ht="15" hidden="false" customHeight="true" outlineLevel="0" collapsed="false">
      <c r="A35" s="5" t="s">
        <v>584</v>
      </c>
      <c r="B35" s="5"/>
      <c r="C35" s="5"/>
      <c r="D35" s="5"/>
      <c r="E35" s="5"/>
      <c r="F35" s="5"/>
      <c r="G35" s="5"/>
      <c r="H35" s="5"/>
      <c r="I35" s="5"/>
      <c r="J35" s="27" t="n">
        <f aca="false">IF($D$10="Evet",J24,0)</f>
        <v>0</v>
      </c>
    </row>
    <row r="36" customFormat="false" ht="15" hidden="false" customHeight="true" outlineLevel="0" collapsed="false">
      <c r="A36" s="5" t="s">
        <v>585</v>
      </c>
      <c r="B36" s="5"/>
      <c r="C36" s="5"/>
      <c r="D36" s="5"/>
      <c r="E36" s="5"/>
      <c r="F36" s="5"/>
      <c r="G36" s="5"/>
      <c r="H36" s="5"/>
      <c r="I36" s="5"/>
      <c r="J36" s="27" t="n">
        <f aca="false">K24</f>
        <v>0</v>
      </c>
    </row>
    <row r="37" customFormat="false" ht="69.75" hidden="false" customHeight="true" outlineLevel="0" collapsed="false">
      <c r="A37" s="17" t="s">
        <v>586</v>
      </c>
      <c r="B37" s="17"/>
      <c r="C37" s="17"/>
      <c r="D37" s="17"/>
      <c r="E37" s="17"/>
      <c r="F37" s="17"/>
      <c r="G37" s="17"/>
      <c r="H37" s="17"/>
      <c r="I37" s="17"/>
      <c r="J37" s="17"/>
      <c r="K37" s="17"/>
      <c r="L37" s="17"/>
      <c r="M37" s="17"/>
      <c r="N37" s="17"/>
    </row>
  </sheetData>
  <mergeCells count="21">
    <mergeCell ref="A6:C6"/>
    <mergeCell ref="A7:C7"/>
    <mergeCell ref="A8:C8"/>
    <mergeCell ref="A9:C9"/>
    <mergeCell ref="D9:H9"/>
    <mergeCell ref="A10:C10"/>
    <mergeCell ref="D10:H10"/>
    <mergeCell ref="A11:C11"/>
    <mergeCell ref="A12:C12"/>
    <mergeCell ref="A13:C13"/>
    <mergeCell ref="A14:C14"/>
    <mergeCell ref="A15:C15"/>
    <mergeCell ref="A16:C16"/>
    <mergeCell ref="A17:C17"/>
    <mergeCell ref="A18:C18"/>
    <mergeCell ref="A19:C19"/>
    <mergeCell ref="A20:C20"/>
    <mergeCell ref="D20:H20"/>
    <mergeCell ref="A35:I35"/>
    <mergeCell ref="A36:I36"/>
    <mergeCell ref="A37:N37"/>
  </mergeCells>
  <conditionalFormatting sqref="N24">
    <cfRule type="expression" priority="2" aboveAverage="0" equalAverage="0" bottom="0" percent="0" rank="0" text="" dxfId="0">
      <formula>OR(LEFT(N24,6)="Uyumlu",LEFT(N24,5)="Tamam",LEFT(N24,5)="Uygun")</formula>
    </cfRule>
    <cfRule type="expression" priority="3" aboveAverage="0" equalAverage="0" bottom="0" percent="0" rank="0" text="" dxfId="1">
      <formula>NOT(OR(LEFT(N24,6)="Uyumlu",LEFT(N24,5)="Tamam",LEFT(N24,5)="Uygun",N24=""))</formula>
    </cfRule>
  </conditionalFormatting>
  <conditionalFormatting sqref="N25">
    <cfRule type="expression" priority="4" aboveAverage="0" equalAverage="0" bottom="0" percent="0" rank="0" text="" dxfId="0">
      <formula>OR(LEFT(N25,6)="Uyumlu",LEFT(N25,5)="Tamam",LEFT(N25,5)="Uygun")</formula>
    </cfRule>
    <cfRule type="expression" priority="5" aboveAverage="0" equalAverage="0" bottom="0" percent="0" rank="0" text="" dxfId="1">
      <formula>NOT(OR(LEFT(N25,6)="Uyumlu",LEFT(N25,5)="Tamam",LEFT(N25,5)="Uygun",N25=""))</formula>
    </cfRule>
  </conditionalFormatting>
  <conditionalFormatting sqref="N26">
    <cfRule type="expression" priority="6" aboveAverage="0" equalAverage="0" bottom="0" percent="0" rank="0" text="" dxfId="0">
      <formula>OR(LEFT(N26,6)="Uyumlu",LEFT(N26,5)="Tamam",LEFT(N26,5)="Uygun")</formula>
    </cfRule>
    <cfRule type="expression" priority="7" aboveAverage="0" equalAverage="0" bottom="0" percent="0" rank="0" text="" dxfId="1">
      <formula>NOT(OR(LEFT(N26,6)="Uyumlu",LEFT(N26,5)="Tamam",LEFT(N26,5)="Uygun",N26=""))</formula>
    </cfRule>
  </conditionalFormatting>
  <conditionalFormatting sqref="N27">
    <cfRule type="expression" priority="8" aboveAverage="0" equalAverage="0" bottom="0" percent="0" rank="0" text="" dxfId="0">
      <formula>OR(LEFT(N27,6)="Uyumlu",LEFT(N27,5)="Tamam",LEFT(N27,5)="Uygun")</formula>
    </cfRule>
    <cfRule type="expression" priority="9" aboveAverage="0" equalAverage="0" bottom="0" percent="0" rank="0" text="" dxfId="1">
      <formula>NOT(OR(LEFT(N27,6)="Uyumlu",LEFT(N27,5)="Tamam",LEFT(N27,5)="Uygun",N27=""))</formula>
    </cfRule>
  </conditionalFormatting>
  <conditionalFormatting sqref="N28">
    <cfRule type="expression" priority="10" aboveAverage="0" equalAverage="0" bottom="0" percent="0" rank="0" text="" dxfId="0">
      <formula>OR(LEFT(N28,6)="Uyumlu",LEFT(N28,5)="Tamam",LEFT(N28,5)="Uygun")</formula>
    </cfRule>
    <cfRule type="expression" priority="11" aboveAverage="0" equalAverage="0" bottom="0" percent="0" rank="0" text="" dxfId="1">
      <formula>NOT(OR(LEFT(N28,6)="Uyumlu",LEFT(N28,5)="Tamam",LEFT(N28,5)="Uygun",N28=""))</formula>
    </cfRule>
  </conditionalFormatting>
  <conditionalFormatting sqref="N29">
    <cfRule type="expression" priority="12" aboveAverage="0" equalAverage="0" bottom="0" percent="0" rank="0" text="" dxfId="0">
      <formula>OR(LEFT(N29,6)="Uyumlu",LEFT(N29,5)="Tamam",LEFT(N29,5)="Uygun")</formula>
    </cfRule>
    <cfRule type="expression" priority="13" aboveAverage="0" equalAverage="0" bottom="0" percent="0" rank="0" text="" dxfId="1">
      <formula>NOT(OR(LEFT(N29,6)="Uyumlu",LEFT(N29,5)="Tamam",LEFT(N29,5)="Uygun",N29=""))</formula>
    </cfRule>
  </conditionalFormatting>
  <conditionalFormatting sqref="N30">
    <cfRule type="expression" priority="14" aboveAverage="0" equalAverage="0" bottom="0" percent="0" rank="0" text="" dxfId="0">
      <formula>OR(LEFT(N30,6)="Uyumlu",LEFT(N30,5)="Tamam",LEFT(N30,5)="Uygun")</formula>
    </cfRule>
    <cfRule type="expression" priority="15" aboveAverage="0" equalAverage="0" bottom="0" percent="0" rank="0" text="" dxfId="1">
      <formula>NOT(OR(LEFT(N30,6)="Uyumlu",LEFT(N30,5)="Tamam",LEFT(N30,5)="Uygun",N30=""))</formula>
    </cfRule>
  </conditionalFormatting>
  <conditionalFormatting sqref="N31">
    <cfRule type="expression" priority="16" aboveAverage="0" equalAverage="0" bottom="0" percent="0" rank="0" text="" dxfId="0">
      <formula>OR(LEFT(N31,6)="Uyumlu",LEFT(N31,5)="Tamam",LEFT(N31,5)="Uygun")</formula>
    </cfRule>
    <cfRule type="expression" priority="17" aboveAverage="0" equalAverage="0" bottom="0" percent="0" rank="0" text="" dxfId="1">
      <formula>NOT(OR(LEFT(N31,6)="Uyumlu",LEFT(N31,5)="Tamam",LEFT(N31,5)="Uygun",N31=""))</formula>
    </cfRule>
  </conditionalFormatting>
  <conditionalFormatting sqref="N32">
    <cfRule type="expression" priority="18" aboveAverage="0" equalAverage="0" bottom="0" percent="0" rank="0" text="" dxfId="0">
      <formula>OR(LEFT(N32,6)="Uyumlu",LEFT(N32,5)="Tamam",LEFT(N32,5)="Uygun")</formula>
    </cfRule>
    <cfRule type="expression" priority="19" aboveAverage="0" equalAverage="0" bottom="0" percent="0" rank="0" text="" dxfId="1">
      <formula>NOT(OR(LEFT(N32,6)="Uyumlu",LEFT(N32,5)="Tamam",LEFT(N32,5)="Uygun",N32=""))</formula>
    </cfRule>
  </conditionalFormatting>
  <conditionalFormatting sqref="N33">
    <cfRule type="expression" priority="20" aboveAverage="0" equalAverage="0" bottom="0" percent="0" rank="0" text="" dxfId="0">
      <formula>OR(LEFT(N33,6)="Uyumlu",LEFT(N33,5)="Tamam",LEFT(N33,5)="Uygun")</formula>
    </cfRule>
    <cfRule type="expression" priority="21" aboveAverage="0" equalAverage="0" bottom="0" percent="0" rank="0" text="" dxfId="1">
      <formula>NOT(OR(LEFT(N33,6)="Uyumlu",LEFT(N33,5)="Tamam",LEFT(N33,5)="Uygun",N33=""))</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3" min="2" style="1" width="13"/>
    <col collapsed="false" customWidth="true" hidden="false" outlineLevel="0" max="4" min="4" style="1" width="16"/>
    <col collapsed="false" customWidth="true" hidden="false" outlineLevel="0" max="5" min="5" style="1" width="14"/>
    <col collapsed="false" customWidth="true" hidden="false" outlineLevel="0" max="6" min="6" style="1" width="11"/>
    <col collapsed="false" customWidth="true" hidden="false" outlineLevel="0" max="7" min="7" style="1" width="12"/>
    <col collapsed="false" customWidth="true" hidden="false" outlineLevel="0" max="8" min="8" style="1" width="9"/>
    <col collapsed="false" customWidth="true" hidden="false" outlineLevel="0" max="9" min="9" style="1" width="15"/>
    <col collapsed="false" customWidth="true" hidden="false" outlineLevel="0" max="11" min="10" style="1" width="12"/>
    <col collapsed="false" customWidth="true" hidden="false" outlineLevel="0" max="12" min="12" style="1" width="13"/>
    <col collapsed="false" customWidth="true" hidden="false" outlineLevel="0" max="13" min="13" style="1" width="15"/>
    <col collapsed="false" customWidth="true" hidden="false" outlineLevel="0" max="14" min="14" style="1" width="34"/>
  </cols>
  <sheetData>
    <row r="1" customFormat="false" ht="17.25" hidden="false" customHeight="true" outlineLevel="0" collapsed="false">
      <c r="A1" s="18" t="s">
        <v>587</v>
      </c>
    </row>
    <row r="2" customFormat="false" ht="15" hidden="false" customHeight="true" outlineLevel="0" collapsed="false">
      <c r="A2" s="19" t="s">
        <v>588</v>
      </c>
    </row>
    <row r="3" customFormat="false" ht="15" hidden="false" customHeight="true" outlineLevel="0" collapsed="false">
      <c r="A3" s="20" t="s">
        <v>73</v>
      </c>
    </row>
    <row r="5" customFormat="false" ht="15" hidden="false" customHeight="true" outlineLevel="0" collapsed="false">
      <c r="A5" s="6" t="s">
        <v>589</v>
      </c>
      <c r="B5" s="6"/>
      <c r="C5" s="6"/>
      <c r="D5" s="41" t="n">
        <f aca="false">Parametreler!D6</f>
        <v>2026</v>
      </c>
    </row>
    <row r="6" customFormat="false" ht="23.25" hidden="false" customHeight="true" outlineLevel="0" collapsed="false">
      <c r="A6" s="6" t="s">
        <v>590</v>
      </c>
      <c r="B6" s="6"/>
      <c r="C6" s="6"/>
      <c r="D6" s="30" t="n">
        <f aca="false">Parametreler!D29</f>
        <v>0.4534</v>
      </c>
    </row>
    <row r="8" customFormat="false" ht="42" hidden="false" customHeight="true" outlineLevel="0" collapsed="false">
      <c r="A8" s="4" t="s">
        <v>572</v>
      </c>
      <c r="B8" s="4" t="s">
        <v>591</v>
      </c>
      <c r="C8" s="4" t="s">
        <v>592</v>
      </c>
      <c r="D8" s="4" t="s">
        <v>593</v>
      </c>
      <c r="E8" s="4" t="s">
        <v>594</v>
      </c>
      <c r="F8" s="4" t="s">
        <v>595</v>
      </c>
      <c r="G8" s="4" t="s">
        <v>596</v>
      </c>
      <c r="H8" s="4" t="s">
        <v>597</v>
      </c>
      <c r="I8" s="4" t="s">
        <v>598</v>
      </c>
      <c r="J8" s="4" t="s">
        <v>599</v>
      </c>
      <c r="K8" s="4" t="s">
        <v>600</v>
      </c>
      <c r="L8" s="4" t="s">
        <v>601</v>
      </c>
      <c r="M8" s="4" t="s">
        <v>602</v>
      </c>
      <c r="N8" s="4" t="s">
        <v>247</v>
      </c>
    </row>
    <row r="9" customFormat="false" ht="15" hidden="false" customHeight="true" outlineLevel="0" collapsed="false">
      <c r="A9" s="22" t="n">
        <v>1</v>
      </c>
      <c r="B9" s="29" t="n">
        <v>46275</v>
      </c>
      <c r="C9" s="29" t="n">
        <v>46270</v>
      </c>
      <c r="D9" s="26" t="n">
        <v>10000000</v>
      </c>
      <c r="E9" s="28" t="s">
        <v>603</v>
      </c>
      <c r="F9" s="30" t="n">
        <f aca="false">IF(D9="","",IF(E9="Yurt dışı",0.75,0.5))</f>
        <v>0.5</v>
      </c>
      <c r="G9" s="25" t="n">
        <f aca="false">IF(B9="","",MAX(B9,N(C9)))</f>
        <v>46275</v>
      </c>
      <c r="H9" s="41" t="n">
        <f aca="false">IF(G9="","",IF(YEAR(G9)&lt;$D$5,12,12-MONTH(G9)+1))</f>
        <v>4</v>
      </c>
      <c r="I9" s="33" t="n">
        <f aca="false">IF(D9="","",IF(N9="Uygun",D9*$D$6*F9*H9/12,0))</f>
        <v>755666.666666667</v>
      </c>
      <c r="J9" s="41" t="n">
        <f aca="false">IF(B9="","",YEAR(B9)+4)</f>
        <v>2030</v>
      </c>
      <c r="K9" s="22" t="str">
        <f aca="false">IF(B9="","",IF(AND($D$5&gt;=YEAR(B9),$D$5&lt;=J9),"Evet","Hayır"))</f>
        <v>Evet</v>
      </c>
      <c r="L9" s="28" t="s">
        <v>299</v>
      </c>
      <c r="M9" s="28" t="s">
        <v>251</v>
      </c>
      <c r="N9" s="22" t="str">
        <f aca="false">IF(D9="","",IF(K9&lt;&gt;"Evet","Süre dışı",IF(L9="E","Sermaye avansı – kapsam dışı",IF(M9&lt;&gt;"E","Banka belgesi yok – indirim uygulanmaz","Uygun"))))</f>
        <v>Uygun</v>
      </c>
    </row>
    <row r="10" customFormat="false" ht="15" hidden="false" customHeight="true" outlineLevel="0" collapsed="false">
      <c r="A10" s="22" t="n">
        <v>2</v>
      </c>
      <c r="B10" s="29" t="n">
        <v>46346</v>
      </c>
      <c r="C10" s="29" t="n">
        <v>46346</v>
      </c>
      <c r="D10" s="26" t="n">
        <v>2000000</v>
      </c>
      <c r="E10" s="28" t="s">
        <v>603</v>
      </c>
      <c r="F10" s="30" t="n">
        <f aca="false">IF(D10="","",IF(E10="Yurt dışı",0.75,0.5))</f>
        <v>0.5</v>
      </c>
      <c r="G10" s="25" t="n">
        <f aca="false">IF(B10="","",MAX(B10,N(C10)))</f>
        <v>46346</v>
      </c>
      <c r="H10" s="41" t="n">
        <f aca="false">IF(G10="","",IF(YEAR(G10)&lt;$D$5,12,12-MONTH(G10)+1))</f>
        <v>2</v>
      </c>
      <c r="I10" s="33" t="n">
        <f aca="false">IF(D10="","",IF(N10="Uygun",D10*$D$6*F10*H10/12,0))</f>
        <v>0</v>
      </c>
      <c r="J10" s="41" t="n">
        <f aca="false">IF(B10="","",YEAR(B10)+4)</f>
        <v>2030</v>
      </c>
      <c r="K10" s="22" t="str">
        <f aca="false">IF(B10="","",IF(AND($D$5&gt;=YEAR(B10),$D$5&lt;=J10),"Evet","Hayır"))</f>
        <v>Evet</v>
      </c>
      <c r="L10" s="28" t="s">
        <v>251</v>
      </c>
      <c r="M10" s="28" t="s">
        <v>251</v>
      </c>
      <c r="N10" s="22" t="str">
        <f aca="false">IF(D10="","",IF(K10&lt;&gt;"Evet","Süre dışı",IF(L10="E","Sermaye avansı – kapsam dışı",IF(M10&lt;&gt;"E","Banka belgesi yok – indirim uygulanmaz","Uygun"))))</f>
        <v>Sermaye avansı – kapsam dışı</v>
      </c>
    </row>
    <row r="11" customFormat="false" ht="15" hidden="false" customHeight="true" outlineLevel="0" collapsed="false">
      <c r="A11" s="22" t="n">
        <v>3</v>
      </c>
      <c r="B11" s="29"/>
      <c r="C11" s="29"/>
      <c r="D11" s="26"/>
      <c r="E11" s="28"/>
      <c r="F11" s="30" t="str">
        <f aca="false">IF(D11="","",IF(E11="Yurt dışı",0.75,0.5))</f>
        <v/>
      </c>
      <c r="G11" s="25" t="str">
        <f aca="false">IF(B11="","",MAX(B11,N(C11)))</f>
        <v/>
      </c>
      <c r="H11" s="41" t="str">
        <f aca="false">IF(G11="","",IF(YEAR(G11)&lt;$D$5,12,12-MONTH(G11)+1))</f>
        <v/>
      </c>
      <c r="I11" s="33" t="str">
        <f aca="false">IF(D11="","",IF(N11="Uygun",D11*$D$6*F11*H11/12,0))</f>
        <v/>
      </c>
      <c r="J11" s="41" t="str">
        <f aca="false">IF(B11="","",YEAR(B11)+4)</f>
        <v/>
      </c>
      <c r="K11" s="22" t="str">
        <f aca="false">IF(B11="","",IF(AND($D$5&gt;=YEAR(B11),$D$5&lt;=J11),"Evet","Hayır"))</f>
        <v/>
      </c>
      <c r="L11" s="28"/>
      <c r="M11" s="28"/>
      <c r="N11" s="22" t="str">
        <f aca="false">IF(D11="","",IF(K11&lt;&gt;"Evet","Süre dışı",IF(L11="E","Sermaye avansı – kapsam dışı",IF(M11&lt;&gt;"E","Banka belgesi yok – indirim uygulanmaz","Uygun"))))</f>
        <v/>
      </c>
    </row>
    <row r="12" customFormat="false" ht="15" hidden="false" customHeight="true" outlineLevel="0" collapsed="false">
      <c r="A12" s="22" t="n">
        <v>4</v>
      </c>
      <c r="B12" s="29"/>
      <c r="C12" s="29"/>
      <c r="D12" s="26"/>
      <c r="E12" s="28"/>
      <c r="F12" s="30" t="str">
        <f aca="false">IF(D12="","",IF(E12="Yurt dışı",0.75,0.5))</f>
        <v/>
      </c>
      <c r="G12" s="25" t="str">
        <f aca="false">IF(B12="","",MAX(B12,N(C12)))</f>
        <v/>
      </c>
      <c r="H12" s="41" t="str">
        <f aca="false">IF(G12="","",IF(YEAR(G12)&lt;$D$5,12,12-MONTH(G12)+1))</f>
        <v/>
      </c>
      <c r="I12" s="33" t="str">
        <f aca="false">IF(D12="","",IF(N12="Uygun",D12*$D$6*F12*H12/12,0))</f>
        <v/>
      </c>
      <c r="J12" s="41" t="str">
        <f aca="false">IF(B12="","",YEAR(B12)+4)</f>
        <v/>
      </c>
      <c r="K12" s="22" t="str">
        <f aca="false">IF(B12="","",IF(AND($D$5&gt;=YEAR(B12),$D$5&lt;=J12),"Evet","Hayır"))</f>
        <v/>
      </c>
      <c r="L12" s="28"/>
      <c r="M12" s="28"/>
      <c r="N12" s="22" t="str">
        <f aca="false">IF(D12="","",IF(K12&lt;&gt;"Evet","Süre dışı",IF(L12="E","Sermaye avansı – kapsam dışı",IF(M12&lt;&gt;"E","Banka belgesi yok – indirim uygulanmaz","Uygun"))))</f>
        <v/>
      </c>
    </row>
    <row r="13" customFormat="false" ht="15" hidden="false" customHeight="true" outlineLevel="0" collapsed="false">
      <c r="A13" s="22" t="n">
        <v>5</v>
      </c>
      <c r="B13" s="29"/>
      <c r="C13" s="29"/>
      <c r="D13" s="26"/>
      <c r="E13" s="28"/>
      <c r="F13" s="30" t="str">
        <f aca="false">IF(D13="","",IF(E13="Yurt dışı",0.75,0.5))</f>
        <v/>
      </c>
      <c r="G13" s="25" t="str">
        <f aca="false">IF(B13="","",MAX(B13,N(C13)))</f>
        <v/>
      </c>
      <c r="H13" s="41" t="str">
        <f aca="false">IF(G13="","",IF(YEAR(G13)&lt;$D$5,12,12-MONTH(G13)+1))</f>
        <v/>
      </c>
      <c r="I13" s="33" t="str">
        <f aca="false">IF(D13="","",IF(N13="Uygun",D13*$D$6*F13*H13/12,0))</f>
        <v/>
      </c>
      <c r="J13" s="41" t="str">
        <f aca="false">IF(B13="","",YEAR(B13)+4)</f>
        <v/>
      </c>
      <c r="K13" s="22" t="str">
        <f aca="false">IF(B13="","",IF(AND($D$5&gt;=YEAR(B13),$D$5&lt;=J13),"Evet","Hayır"))</f>
        <v/>
      </c>
      <c r="L13" s="28"/>
      <c r="M13" s="28"/>
      <c r="N13" s="22" t="str">
        <f aca="false">IF(D13="","",IF(K13&lt;&gt;"Evet","Süre dışı",IF(L13="E","Sermaye avansı – kapsam dışı",IF(M13&lt;&gt;"E","Banka belgesi yok – indirim uygulanmaz","Uygun"))))</f>
        <v/>
      </c>
    </row>
    <row r="14" customFormat="false" ht="15" hidden="false" customHeight="true" outlineLevel="0" collapsed="false">
      <c r="A14" s="22" t="n">
        <v>6</v>
      </c>
      <c r="B14" s="29"/>
      <c r="C14" s="29"/>
      <c r="D14" s="26"/>
      <c r="E14" s="28"/>
      <c r="F14" s="30" t="str">
        <f aca="false">IF(D14="","",IF(E14="Yurt dışı",0.75,0.5))</f>
        <v/>
      </c>
      <c r="G14" s="25" t="str">
        <f aca="false">IF(B14="","",MAX(B14,N(C14)))</f>
        <v/>
      </c>
      <c r="H14" s="41" t="str">
        <f aca="false">IF(G14="","",IF(YEAR(G14)&lt;$D$5,12,12-MONTH(G14)+1))</f>
        <v/>
      </c>
      <c r="I14" s="33" t="str">
        <f aca="false">IF(D14="","",IF(N14="Uygun",D14*$D$6*F14*H14/12,0))</f>
        <v/>
      </c>
      <c r="J14" s="41" t="str">
        <f aca="false">IF(B14="","",YEAR(B14)+4)</f>
        <v/>
      </c>
      <c r="K14" s="22" t="str">
        <f aca="false">IF(B14="","",IF(AND($D$5&gt;=YEAR(B14),$D$5&lt;=J14),"Evet","Hayır"))</f>
        <v/>
      </c>
      <c r="L14" s="28"/>
      <c r="M14" s="28"/>
      <c r="N14" s="22" t="str">
        <f aca="false">IF(D14="","",IF(K14&lt;&gt;"Evet","Süre dışı",IF(L14="E","Sermaye avansı – kapsam dışı",IF(M14&lt;&gt;"E","Banka belgesi yok – indirim uygulanmaz","Uygun"))))</f>
        <v/>
      </c>
    </row>
    <row r="15" customFormat="false" ht="15" hidden="false" customHeight="true" outlineLevel="0" collapsed="false">
      <c r="A15" s="22" t="n">
        <v>7</v>
      </c>
      <c r="B15" s="29"/>
      <c r="C15" s="29"/>
      <c r="D15" s="26"/>
      <c r="E15" s="28"/>
      <c r="F15" s="30" t="str">
        <f aca="false">IF(D15="","",IF(E15="Yurt dışı",0.75,0.5))</f>
        <v/>
      </c>
      <c r="G15" s="25" t="str">
        <f aca="false">IF(B15="","",MAX(B15,N(C15)))</f>
        <v/>
      </c>
      <c r="H15" s="41" t="str">
        <f aca="false">IF(G15="","",IF(YEAR(G15)&lt;$D$5,12,12-MONTH(G15)+1))</f>
        <v/>
      </c>
      <c r="I15" s="33" t="str">
        <f aca="false">IF(D15="","",IF(N15="Uygun",D15*$D$6*F15*H15/12,0))</f>
        <v/>
      </c>
      <c r="J15" s="41" t="str">
        <f aca="false">IF(B15="","",YEAR(B15)+4)</f>
        <v/>
      </c>
      <c r="K15" s="22" t="str">
        <f aca="false">IF(B15="","",IF(AND($D$5&gt;=YEAR(B15),$D$5&lt;=J15),"Evet","Hayır"))</f>
        <v/>
      </c>
      <c r="L15" s="28"/>
      <c r="M15" s="28"/>
      <c r="N15" s="22" t="str">
        <f aca="false">IF(D15="","",IF(K15&lt;&gt;"Evet","Süre dışı",IF(L15="E","Sermaye avansı – kapsam dışı",IF(M15&lt;&gt;"E","Banka belgesi yok – indirim uygulanmaz","Uygun"))))</f>
        <v/>
      </c>
    </row>
    <row r="16" customFormat="false" ht="15" hidden="false" customHeight="true" outlineLevel="0" collapsed="false">
      <c r="A16" s="22" t="n">
        <v>8</v>
      </c>
      <c r="B16" s="29"/>
      <c r="C16" s="29"/>
      <c r="D16" s="26"/>
      <c r="E16" s="28"/>
      <c r="F16" s="30" t="str">
        <f aca="false">IF(D16="","",IF(E16="Yurt dışı",0.75,0.5))</f>
        <v/>
      </c>
      <c r="G16" s="25" t="str">
        <f aca="false">IF(B16="","",MAX(B16,N(C16)))</f>
        <v/>
      </c>
      <c r="H16" s="41" t="str">
        <f aca="false">IF(G16="","",IF(YEAR(G16)&lt;$D$5,12,12-MONTH(G16)+1))</f>
        <v/>
      </c>
      <c r="I16" s="33" t="str">
        <f aca="false">IF(D16="","",IF(N16="Uygun",D16*$D$6*F16*H16/12,0))</f>
        <v/>
      </c>
      <c r="J16" s="41" t="str">
        <f aca="false">IF(B16="","",YEAR(B16)+4)</f>
        <v/>
      </c>
      <c r="K16" s="22" t="str">
        <f aca="false">IF(B16="","",IF(AND($D$5&gt;=YEAR(B16),$D$5&lt;=J16),"Evet","Hayır"))</f>
        <v/>
      </c>
      <c r="L16" s="28"/>
      <c r="M16" s="28"/>
      <c r="N16" s="22" t="str">
        <f aca="false">IF(D16="","",IF(K16&lt;&gt;"Evet","Süre dışı",IF(L16="E","Sermaye avansı – kapsam dışı",IF(M16&lt;&gt;"E","Banka belgesi yok – indirim uygulanmaz","Uygun"))))</f>
        <v/>
      </c>
    </row>
    <row r="17" customFormat="false" ht="15" hidden="false" customHeight="true" outlineLevel="0" collapsed="false">
      <c r="H17" s="31" t="s">
        <v>173</v>
      </c>
      <c r="I17" s="27" t="n">
        <f aca="false">SUM(I9:I16)</f>
        <v>755666.666666667</v>
      </c>
    </row>
    <row r="19" customFormat="false" ht="15" hidden="false" customHeight="true" outlineLevel="0" collapsed="false">
      <c r="A19" s="5" t="s">
        <v>604</v>
      </c>
      <c r="B19" s="5"/>
      <c r="C19" s="5"/>
      <c r="D19" s="27" t="n">
        <f aca="false">I17</f>
        <v>755666.666666667</v>
      </c>
    </row>
    <row r="20" customFormat="false" ht="23.25" hidden="false" customHeight="true" outlineLevel="0" collapsed="false">
      <c r="A20" s="6" t="s">
        <v>605</v>
      </c>
      <c r="B20" s="6"/>
      <c r="C20" s="6"/>
      <c r="D20" s="26" t="n">
        <v>0</v>
      </c>
    </row>
    <row r="21" customFormat="false" ht="15" hidden="false" customHeight="true" outlineLevel="0" collapsed="false">
      <c r="A21" s="5" t="s">
        <v>579</v>
      </c>
      <c r="B21" s="5"/>
      <c r="C21" s="5"/>
      <c r="D21" s="27" t="n">
        <f aca="false">D19+D20</f>
        <v>755666.666666667</v>
      </c>
    </row>
    <row r="22" customFormat="false" ht="15" hidden="false" customHeight="true" outlineLevel="0" collapsed="false">
      <c r="A22" s="5" t="s">
        <v>606</v>
      </c>
      <c r="B22" s="5"/>
      <c r="C22" s="5"/>
      <c r="D22" s="27" t="n">
        <f aca="false">'Ek-14'!E21</f>
        <v>755666.666666667</v>
      </c>
    </row>
    <row r="23" customFormat="false" ht="15" hidden="false" customHeight="true" outlineLevel="0" collapsed="false">
      <c r="A23" s="5" t="s">
        <v>607</v>
      </c>
      <c r="B23" s="5"/>
      <c r="C23" s="5"/>
      <c r="D23" s="27" t="n">
        <f aca="false">D21-D22</f>
        <v>0</v>
      </c>
    </row>
    <row r="24" customFormat="false" ht="55.5" hidden="false" customHeight="true" outlineLevel="0" collapsed="false">
      <c r="A24" s="17" t="s">
        <v>608</v>
      </c>
      <c r="B24" s="17"/>
      <c r="C24" s="17"/>
      <c r="D24" s="17"/>
      <c r="E24" s="17"/>
      <c r="F24" s="17"/>
      <c r="G24" s="17"/>
      <c r="H24" s="17"/>
      <c r="I24" s="17"/>
      <c r="J24" s="17"/>
      <c r="K24" s="17"/>
      <c r="L24" s="17"/>
      <c r="M24" s="17"/>
      <c r="N24" s="17"/>
    </row>
  </sheetData>
  <mergeCells count="8">
    <mergeCell ref="A5:C5"/>
    <mergeCell ref="A6:C6"/>
    <mergeCell ref="A19:C19"/>
    <mergeCell ref="A20:C20"/>
    <mergeCell ref="A21:C21"/>
    <mergeCell ref="A22:C22"/>
    <mergeCell ref="A23:C23"/>
    <mergeCell ref="A24:N24"/>
  </mergeCells>
  <conditionalFormatting sqref="N9">
    <cfRule type="expression" priority="2" aboveAverage="0" equalAverage="0" bottom="0" percent="0" rank="0" text="" dxfId="0">
      <formula>OR(LEFT(N9,6)="Uyumlu",LEFT(N9,5)="Tamam",LEFT(N9,5)="Uygun")</formula>
    </cfRule>
    <cfRule type="expression" priority="3" aboveAverage="0" equalAverage="0" bottom="0" percent="0" rank="0" text="" dxfId="1">
      <formula>NOT(OR(LEFT(N9,6)="Uyumlu",LEFT(N9,5)="Tamam",LEFT(N9,5)="Uygun",N9=""))</formula>
    </cfRule>
  </conditionalFormatting>
  <conditionalFormatting sqref="N10">
    <cfRule type="expression" priority="4" aboveAverage="0" equalAverage="0" bottom="0" percent="0" rank="0" text="" dxfId="0">
      <formula>OR(LEFT(N10,6)="Uyumlu",LEFT(N10,5)="Tamam",LEFT(N10,5)="Uygun")</formula>
    </cfRule>
    <cfRule type="expression" priority="5" aboveAverage="0" equalAverage="0" bottom="0" percent="0" rank="0" text="" dxfId="1">
      <formula>NOT(OR(LEFT(N10,6)="Uyumlu",LEFT(N10,5)="Tamam",LEFT(N10,5)="Uygun",N10=""))</formula>
    </cfRule>
  </conditionalFormatting>
  <conditionalFormatting sqref="N11">
    <cfRule type="expression" priority="6" aboveAverage="0" equalAverage="0" bottom="0" percent="0" rank="0" text="" dxfId="0">
      <formula>OR(LEFT(N11,6)="Uyumlu",LEFT(N11,5)="Tamam",LEFT(N11,5)="Uygun")</formula>
    </cfRule>
    <cfRule type="expression" priority="7" aboveAverage="0" equalAverage="0" bottom="0" percent="0" rank="0" text="" dxfId="1">
      <formula>NOT(OR(LEFT(N11,6)="Uyumlu",LEFT(N11,5)="Tamam",LEFT(N11,5)="Uygun",N11=""))</formula>
    </cfRule>
  </conditionalFormatting>
  <conditionalFormatting sqref="N12">
    <cfRule type="expression" priority="8" aboveAverage="0" equalAverage="0" bottom="0" percent="0" rank="0" text="" dxfId="0">
      <formula>OR(LEFT(N12,6)="Uyumlu",LEFT(N12,5)="Tamam",LEFT(N12,5)="Uygun")</formula>
    </cfRule>
    <cfRule type="expression" priority="9" aboveAverage="0" equalAverage="0" bottom="0" percent="0" rank="0" text="" dxfId="1">
      <formula>NOT(OR(LEFT(N12,6)="Uyumlu",LEFT(N12,5)="Tamam",LEFT(N12,5)="Uygun",N12=""))</formula>
    </cfRule>
  </conditionalFormatting>
  <conditionalFormatting sqref="N13">
    <cfRule type="expression" priority="10" aboveAverage="0" equalAverage="0" bottom="0" percent="0" rank="0" text="" dxfId="0">
      <formula>OR(LEFT(N13,6)="Uyumlu",LEFT(N13,5)="Tamam",LEFT(N13,5)="Uygun")</formula>
    </cfRule>
    <cfRule type="expression" priority="11" aboveAverage="0" equalAverage="0" bottom="0" percent="0" rank="0" text="" dxfId="1">
      <formula>NOT(OR(LEFT(N13,6)="Uyumlu",LEFT(N13,5)="Tamam",LEFT(N13,5)="Uygun",N13=""))</formula>
    </cfRule>
  </conditionalFormatting>
  <conditionalFormatting sqref="N14">
    <cfRule type="expression" priority="12" aboveAverage="0" equalAverage="0" bottom="0" percent="0" rank="0" text="" dxfId="0">
      <formula>OR(LEFT(N14,6)="Uyumlu",LEFT(N14,5)="Tamam",LEFT(N14,5)="Uygun")</formula>
    </cfRule>
    <cfRule type="expression" priority="13" aboveAverage="0" equalAverage="0" bottom="0" percent="0" rank="0" text="" dxfId="1">
      <formula>NOT(OR(LEFT(N14,6)="Uyumlu",LEFT(N14,5)="Tamam",LEFT(N14,5)="Uygun",N14=""))</formula>
    </cfRule>
  </conditionalFormatting>
  <conditionalFormatting sqref="N15">
    <cfRule type="expression" priority="14" aboveAverage="0" equalAverage="0" bottom="0" percent="0" rank="0" text="" dxfId="0">
      <formula>OR(LEFT(N15,6)="Uyumlu",LEFT(N15,5)="Tamam",LEFT(N15,5)="Uygun")</formula>
    </cfRule>
    <cfRule type="expression" priority="15" aboveAverage="0" equalAverage="0" bottom="0" percent="0" rank="0" text="" dxfId="1">
      <formula>NOT(OR(LEFT(N15,6)="Uyumlu",LEFT(N15,5)="Tamam",LEFT(N15,5)="Uygun",N15=""))</formula>
    </cfRule>
  </conditionalFormatting>
  <conditionalFormatting sqref="N16">
    <cfRule type="expression" priority="16" aboveAverage="0" equalAverage="0" bottom="0" percent="0" rank="0" text="" dxfId="0">
      <formula>OR(LEFT(N16,6)="Uyumlu",LEFT(N16,5)="Tamam",LEFT(N16,5)="Uygun")</formula>
    </cfRule>
    <cfRule type="expression" priority="17" aboveAverage="0" equalAverage="0" bottom="0" percent="0" rank="0" text="" dxfId="1">
      <formula>NOT(OR(LEFT(N16,6)="Uyumlu",LEFT(N16,5)="Tamam",LEFT(N16,5)="Uygun",N16=""))</formula>
    </cfRule>
  </conditionalFormatting>
  <dataValidations count="2">
    <dataValidation allowBlank="true" errorStyle="stop" operator="between" showDropDown="false" showErrorMessage="false" showInputMessage="false" sqref="E9:E16" type="list">
      <formula1>"Yurt içi,Yurt dışı"</formula1>
      <formula2>0</formula2>
    </dataValidation>
    <dataValidation allowBlank="true" errorStyle="stop" operator="between" showDropDown="false" showErrorMessage="false" showInputMessage="false" sqref="L9:M16"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0"/>
    <col collapsed="false" customWidth="true" hidden="false" outlineLevel="0" max="2" min="2" style="1" width="10"/>
    <col collapsed="false" customWidth="true" hidden="false" outlineLevel="0" max="3" min="3" style="1" width="20"/>
    <col collapsed="false" customWidth="true" hidden="false" outlineLevel="0" max="5" min="4" style="1" width="12"/>
    <col collapsed="false" customWidth="true" hidden="false" outlineLevel="0" max="6" min="6" style="1" width="9"/>
    <col collapsed="false" customWidth="true" hidden="false" outlineLevel="0" max="9" min="7" style="1" width="11"/>
    <col collapsed="false" customWidth="true" hidden="false" outlineLevel="0" max="11" min="10" style="1" width="14"/>
    <col collapsed="false" customWidth="true" hidden="false" outlineLevel="0" max="12" min="12" style="1" width="12"/>
    <col collapsed="false" customWidth="true" hidden="false" outlineLevel="0" max="13" min="13" style="1" width="14"/>
    <col collapsed="false" customWidth="true" hidden="false" outlineLevel="0" max="14" min="14" style="1" width="9"/>
    <col collapsed="false" customWidth="true" hidden="false" outlineLevel="0" max="15" min="15" style="1" width="14"/>
    <col collapsed="false" customWidth="true" hidden="false" outlineLevel="0" max="16" min="16" style="1" width="12"/>
    <col collapsed="false" customWidth="true" hidden="false" outlineLevel="0" max="17" min="17" style="1" width="14"/>
    <col collapsed="false" customWidth="true" hidden="false" outlineLevel="0" max="18" min="18" style="1" width="9"/>
    <col collapsed="false" customWidth="true" hidden="false" outlineLevel="0" max="19" min="19" style="1" width="15"/>
    <col collapsed="false" customWidth="true" hidden="false" outlineLevel="0" max="20" min="20" style="1" width="30"/>
  </cols>
  <sheetData>
    <row r="1" customFormat="false" ht="17.25" hidden="false" customHeight="true" outlineLevel="0" collapsed="false">
      <c r="A1" s="18" t="s">
        <v>609</v>
      </c>
    </row>
    <row r="2" customFormat="false" ht="15" hidden="false" customHeight="true" outlineLevel="0" collapsed="false">
      <c r="A2" s="19" t="s">
        <v>610</v>
      </c>
    </row>
    <row r="3" customFormat="false" ht="15" hidden="false" customHeight="true" outlineLevel="0" collapsed="false">
      <c r="A3" s="20" t="s">
        <v>73</v>
      </c>
    </row>
    <row r="5" customFormat="false" ht="15" hidden="false" customHeight="true" outlineLevel="0" collapsed="false">
      <c r="A5" s="8" t="s">
        <v>611</v>
      </c>
      <c r="B5" s="9"/>
      <c r="C5" s="9"/>
      <c r="D5" s="9"/>
      <c r="E5" s="9"/>
      <c r="F5" s="9"/>
      <c r="G5" s="9"/>
      <c r="H5" s="9"/>
      <c r="I5" s="9"/>
      <c r="J5" s="9"/>
      <c r="K5" s="9"/>
      <c r="L5" s="9"/>
      <c r="M5" s="9"/>
      <c r="N5" s="9"/>
      <c r="O5" s="9"/>
      <c r="P5" s="9"/>
      <c r="Q5" s="9"/>
      <c r="R5" s="9"/>
      <c r="S5" s="9"/>
      <c r="T5" s="9"/>
    </row>
    <row r="6" customFormat="false" ht="42" hidden="false" customHeight="true" outlineLevel="0" collapsed="false">
      <c r="A6" s="4" t="s">
        <v>612</v>
      </c>
      <c r="B6" s="4" t="s">
        <v>613</v>
      </c>
      <c r="C6" s="4" t="s">
        <v>614</v>
      </c>
      <c r="D6" s="4" t="s">
        <v>615</v>
      </c>
      <c r="E6" s="4" t="s">
        <v>616</v>
      </c>
      <c r="F6" s="4" t="s">
        <v>617</v>
      </c>
      <c r="G6" s="4" t="s">
        <v>618</v>
      </c>
      <c r="H6" s="4" t="s">
        <v>619</v>
      </c>
      <c r="I6" s="4" t="s">
        <v>620</v>
      </c>
      <c r="J6" s="4" t="s">
        <v>621</v>
      </c>
      <c r="K6" s="4" t="s">
        <v>622</v>
      </c>
      <c r="L6" s="4" t="s">
        <v>623</v>
      </c>
      <c r="M6" s="4" t="s">
        <v>624</v>
      </c>
      <c r="N6" s="4" t="s">
        <v>625</v>
      </c>
      <c r="O6" s="4" t="s">
        <v>626</v>
      </c>
      <c r="P6" s="4" t="s">
        <v>627</v>
      </c>
      <c r="Q6" s="4" t="s">
        <v>628</v>
      </c>
      <c r="R6" s="4" t="s">
        <v>629</v>
      </c>
      <c r="S6" s="4" t="s">
        <v>630</v>
      </c>
      <c r="T6" s="4" t="s">
        <v>247</v>
      </c>
    </row>
    <row r="7" customFormat="false" ht="15" hidden="false" customHeight="true" outlineLevel="0" collapsed="false">
      <c r="A7" s="28" t="s">
        <v>631</v>
      </c>
      <c r="B7" s="28" t="s">
        <v>632</v>
      </c>
      <c r="C7" s="28" t="s">
        <v>633</v>
      </c>
      <c r="D7" s="29" t="n">
        <v>43525</v>
      </c>
      <c r="E7" s="29" t="n">
        <v>46188</v>
      </c>
      <c r="F7" s="41" t="n">
        <f aca="false">IF(OR(D7="",E7=""),"",E7-D7)</f>
        <v>2663</v>
      </c>
      <c r="G7" s="22" t="str">
        <f aca="false">IF(F7="","",IF(F7&gt;=730,"Sağlanıyor","Sağlanmıyor"))</f>
        <v>Sağlanıyor</v>
      </c>
      <c r="H7" s="28" t="s">
        <v>299</v>
      </c>
      <c r="I7" s="28" t="s">
        <v>251</v>
      </c>
      <c r="J7" s="26" t="n">
        <v>20000000</v>
      </c>
      <c r="K7" s="26" t="n">
        <v>12000000</v>
      </c>
      <c r="L7" s="26" t="n">
        <v>200000</v>
      </c>
      <c r="M7" s="33" t="n">
        <f aca="false">IF(J7="","",J7-N(K7)-N(L7))</f>
        <v>7800000</v>
      </c>
      <c r="N7" s="42" t="n">
        <f aca="false">IF(B7="","",IF(B7="İştirak",IF(E7&gt;=DATE(2024,11,27),Parametreler!$D$31,Parametreler!$D$32),IF(D7&lt;DATE(2023,7,15),IF(E7&gt;=DATE(2023,7,15),Parametreler!$D$33,0.5),0)))</f>
        <v>0.25</v>
      </c>
      <c r="O7" s="33" t="n">
        <f aca="false">IF(B7="","",IF(T7="Uygun",MAX(0,M7)*N7,0))</f>
        <v>1950000</v>
      </c>
      <c r="P7" s="25" t="n">
        <f aca="false">IF(E7="","",DATE(YEAR(E7)+2,12,31))</f>
        <v>47118</v>
      </c>
      <c r="Q7" s="26" t="n">
        <v>20000000</v>
      </c>
      <c r="R7" s="42" t="n">
        <f aca="false">IF(OR(J7="",N(J7)=0),"",MIN(1,N(Q7)/J7))</f>
        <v>1</v>
      </c>
      <c r="S7" s="33" t="n">
        <f aca="false">IF(O7="","",O7*(1-N(R7)))</f>
        <v>0</v>
      </c>
      <c r="T7" s="22" t="str">
        <f aca="false">IF(B7="","",IF(G7&lt;&gt;"Sağlanıyor","730 gün dolmamış – istisna yok",IF(H7="E","Ticari amaçla elde tutulan – kapsam dışı",IF(N7=0,"15.7.2023 ve sonrası edinilen taşınmaz – istisna yok",IF(I7&lt;&gt;"E","Fon hesabı yok – istisna uygulanmaz","Uygun")))))</f>
        <v>Uygun</v>
      </c>
    </row>
    <row r="8" customFormat="false" ht="15" hidden="false" customHeight="true" outlineLevel="0" collapsed="false">
      <c r="A8" s="28" t="s">
        <v>634</v>
      </c>
      <c r="B8" s="28" t="s">
        <v>635</v>
      </c>
      <c r="C8" s="28" t="s">
        <v>636</v>
      </c>
      <c r="D8" s="29" t="n">
        <v>44571</v>
      </c>
      <c r="E8" s="29" t="n">
        <v>46235</v>
      </c>
      <c r="F8" s="41" t="n">
        <f aca="false">IF(OR(D8="",E8=""),"",E8-D8)</f>
        <v>1664</v>
      </c>
      <c r="G8" s="22" t="str">
        <f aca="false">IF(F8="","",IF(F8&gt;=730,"Sağlanıyor","Sağlanmıyor"))</f>
        <v>Sağlanıyor</v>
      </c>
      <c r="H8" s="28" t="s">
        <v>299</v>
      </c>
      <c r="I8" s="28" t="s">
        <v>251</v>
      </c>
      <c r="J8" s="26" t="n">
        <v>6000000</v>
      </c>
      <c r="K8" s="26" t="n">
        <v>2000000</v>
      </c>
      <c r="L8" s="26" t="n">
        <v>0</v>
      </c>
      <c r="M8" s="33" t="n">
        <f aca="false">IF(J8="","",J8-N(K8)-N(L8))</f>
        <v>4000000</v>
      </c>
      <c r="N8" s="42" t="n">
        <f aca="false">IF(B8="","",IF(B8="İştirak",IF(E8&gt;=DATE(2024,11,27),Parametreler!$D$31,Parametreler!$D$32),IF(D8&lt;DATE(2023,7,15),IF(E8&gt;=DATE(2023,7,15),Parametreler!$D$33,0.5),0)))</f>
        <v>0.5</v>
      </c>
      <c r="O8" s="33" t="n">
        <f aca="false">IF(B8="","",IF(T8="Uygun",MAX(0,M8)*N8,0))</f>
        <v>2000000</v>
      </c>
      <c r="P8" s="25" t="n">
        <f aca="false">IF(E8="","",DATE(YEAR(E8)+2,12,31))</f>
        <v>47118</v>
      </c>
      <c r="Q8" s="26" t="n">
        <v>4500000</v>
      </c>
      <c r="R8" s="42" t="n">
        <f aca="false">IF(OR(J8="",N(J8)=0),"",MIN(1,N(Q8)/J8))</f>
        <v>0.75</v>
      </c>
      <c r="S8" s="33" t="n">
        <f aca="false">IF(O8="","",O8*(1-N(R8)))</f>
        <v>500000</v>
      </c>
      <c r="T8" s="22" t="str">
        <f aca="false">IF(B8="","",IF(G8&lt;&gt;"Sağlanıyor","730 gün dolmamış – istisna yok",IF(H8="E","Ticari amaçla elde tutulan – kapsam dışı",IF(N8=0,"15.7.2023 ve sonrası edinilen taşınmaz – istisna yok",IF(I8&lt;&gt;"E","Fon hesabı yok – istisna uygulanmaz","Uygun")))))</f>
        <v>Uygun</v>
      </c>
    </row>
    <row r="9" customFormat="false" ht="15" hidden="false" customHeight="true" outlineLevel="0" collapsed="false">
      <c r="A9" s="28"/>
      <c r="B9" s="28"/>
      <c r="C9" s="28"/>
      <c r="D9" s="29"/>
      <c r="E9" s="29"/>
      <c r="F9" s="41" t="str">
        <f aca="false">IF(OR(D9="",E9=""),"",E9-D9)</f>
        <v/>
      </c>
      <c r="G9" s="22" t="str">
        <f aca="false">IF(F9="","",IF(F9&gt;=730,"Sağlanıyor","Sağlanmıyor"))</f>
        <v/>
      </c>
      <c r="H9" s="28"/>
      <c r="I9" s="28"/>
      <c r="J9" s="26"/>
      <c r="K9" s="26"/>
      <c r="L9" s="26"/>
      <c r="M9" s="33" t="str">
        <f aca="false">IF(J9="","",J9-N(K9)-N(L9))</f>
        <v/>
      </c>
      <c r="N9" s="42" t="str">
        <f aca="false">IF(B9="","",IF(B9="İştirak",IF(E9&gt;=DATE(2024,11,27),Parametreler!$D$31,Parametreler!$D$32),IF(D9&lt;DATE(2023,7,15),IF(E9&gt;=DATE(2023,7,15),Parametreler!$D$33,0.5),0)))</f>
        <v/>
      </c>
      <c r="O9" s="33" t="str">
        <f aca="false">IF(B9="","",IF(T9="Uygun",MAX(0,M9)*N9,0))</f>
        <v/>
      </c>
      <c r="P9" s="25" t="str">
        <f aca="false">IF(E9="","",DATE(YEAR(E9)+2,12,31))</f>
        <v/>
      </c>
      <c r="Q9" s="26"/>
      <c r="R9" s="42" t="str">
        <f aca="false">IF(OR(J9="",N(J9)=0),"",MIN(1,N(Q9)/J9))</f>
        <v/>
      </c>
      <c r="S9" s="33" t="str">
        <f aca="false">IF(O9="","",O9*(1-N(R9)))</f>
        <v/>
      </c>
      <c r="T9" s="22" t="str">
        <f aca="false">IF(B9="","",IF(G9&lt;&gt;"Sağlanıyor","730 gün dolmamış – istisna yok",IF(H9="E","Ticari amaçla elde tutulan – kapsam dışı",IF(N9=0,"15.7.2023 ve sonrası edinilen taşınmaz – istisna yok",IF(I9&lt;&gt;"E","Fon hesabı yok – istisna uygulanmaz","Uygun")))))</f>
        <v/>
      </c>
    </row>
    <row r="10" customFormat="false" ht="15" hidden="false" customHeight="true" outlineLevel="0" collapsed="false">
      <c r="A10" s="28"/>
      <c r="B10" s="28"/>
      <c r="C10" s="28"/>
      <c r="D10" s="29"/>
      <c r="E10" s="29"/>
      <c r="F10" s="41" t="str">
        <f aca="false">IF(OR(D10="",E10=""),"",E10-D10)</f>
        <v/>
      </c>
      <c r="G10" s="22" t="str">
        <f aca="false">IF(F10="","",IF(F10&gt;=730,"Sağlanıyor","Sağlanmıyor"))</f>
        <v/>
      </c>
      <c r="H10" s="28"/>
      <c r="I10" s="28"/>
      <c r="J10" s="26"/>
      <c r="K10" s="26"/>
      <c r="L10" s="26"/>
      <c r="M10" s="33" t="str">
        <f aca="false">IF(J10="","",J10-N(K10)-N(L10))</f>
        <v/>
      </c>
      <c r="N10" s="42" t="str">
        <f aca="false">IF(B10="","",IF(B10="İştirak",IF(E10&gt;=DATE(2024,11,27),Parametreler!$D$31,Parametreler!$D$32),IF(D10&lt;DATE(2023,7,15),IF(E10&gt;=DATE(2023,7,15),Parametreler!$D$33,0.5),0)))</f>
        <v/>
      </c>
      <c r="O10" s="33" t="str">
        <f aca="false">IF(B10="","",IF(T10="Uygun",MAX(0,M10)*N10,0))</f>
        <v/>
      </c>
      <c r="P10" s="25" t="str">
        <f aca="false">IF(E10="","",DATE(YEAR(E10)+2,12,31))</f>
        <v/>
      </c>
      <c r="Q10" s="26"/>
      <c r="R10" s="42" t="str">
        <f aca="false">IF(OR(J10="",N(J10)=0),"",MIN(1,N(Q10)/J10))</f>
        <v/>
      </c>
      <c r="S10" s="33" t="str">
        <f aca="false">IF(O10="","",O10*(1-N(R10)))</f>
        <v/>
      </c>
      <c r="T10" s="22" t="str">
        <f aca="false">IF(B10="","",IF(G10&lt;&gt;"Sağlanıyor","730 gün dolmamış – istisna yok",IF(H10="E","Ticari amaçla elde tutulan – kapsam dışı",IF(N10=0,"15.7.2023 ve sonrası edinilen taşınmaz – istisna yok",IF(I10&lt;&gt;"E","Fon hesabı yok – istisna uygulanmaz","Uygun")))))</f>
        <v/>
      </c>
    </row>
    <row r="11" customFormat="false" ht="15" hidden="false" customHeight="true" outlineLevel="0" collapsed="false">
      <c r="A11" s="28"/>
      <c r="B11" s="28"/>
      <c r="C11" s="28"/>
      <c r="D11" s="29"/>
      <c r="E11" s="29"/>
      <c r="F11" s="41" t="str">
        <f aca="false">IF(OR(D11="",E11=""),"",E11-D11)</f>
        <v/>
      </c>
      <c r="G11" s="22" t="str">
        <f aca="false">IF(F11="","",IF(F11&gt;=730,"Sağlanıyor","Sağlanmıyor"))</f>
        <v/>
      </c>
      <c r="H11" s="28"/>
      <c r="I11" s="28"/>
      <c r="J11" s="26"/>
      <c r="K11" s="26"/>
      <c r="L11" s="26"/>
      <c r="M11" s="33" t="str">
        <f aca="false">IF(J11="","",J11-N(K11)-N(L11))</f>
        <v/>
      </c>
      <c r="N11" s="42" t="str">
        <f aca="false">IF(B11="","",IF(B11="İştirak",IF(E11&gt;=DATE(2024,11,27),Parametreler!$D$31,Parametreler!$D$32),IF(D11&lt;DATE(2023,7,15),IF(E11&gt;=DATE(2023,7,15),Parametreler!$D$33,0.5),0)))</f>
        <v/>
      </c>
      <c r="O11" s="33" t="str">
        <f aca="false">IF(B11="","",IF(T11="Uygun",MAX(0,M11)*N11,0))</f>
        <v/>
      </c>
      <c r="P11" s="25" t="str">
        <f aca="false">IF(E11="","",DATE(YEAR(E11)+2,12,31))</f>
        <v/>
      </c>
      <c r="Q11" s="26"/>
      <c r="R11" s="42" t="str">
        <f aca="false">IF(OR(J11="",N(J11)=0),"",MIN(1,N(Q11)/J11))</f>
        <v/>
      </c>
      <c r="S11" s="33" t="str">
        <f aca="false">IF(O11="","",O11*(1-N(R11)))</f>
        <v/>
      </c>
      <c r="T11" s="22" t="str">
        <f aca="false">IF(B11="","",IF(G11&lt;&gt;"Sağlanıyor","730 gün dolmamış – istisna yok",IF(H11="E","Ticari amaçla elde tutulan – kapsam dışı",IF(N11=0,"15.7.2023 ve sonrası edinilen taşınmaz – istisna yok",IF(I11&lt;&gt;"E","Fon hesabı yok – istisna uygulanmaz","Uygun")))))</f>
        <v/>
      </c>
    </row>
    <row r="12" customFormat="false" ht="15" hidden="false" customHeight="true" outlineLevel="0" collapsed="false">
      <c r="A12" s="28"/>
      <c r="B12" s="28"/>
      <c r="C12" s="28"/>
      <c r="D12" s="29"/>
      <c r="E12" s="29"/>
      <c r="F12" s="41" t="str">
        <f aca="false">IF(OR(D12="",E12=""),"",E12-D12)</f>
        <v/>
      </c>
      <c r="G12" s="22" t="str">
        <f aca="false">IF(F12="","",IF(F12&gt;=730,"Sağlanıyor","Sağlanmıyor"))</f>
        <v/>
      </c>
      <c r="H12" s="28"/>
      <c r="I12" s="28"/>
      <c r="J12" s="26"/>
      <c r="K12" s="26"/>
      <c r="L12" s="26"/>
      <c r="M12" s="33" t="str">
        <f aca="false">IF(J12="","",J12-N(K12)-N(L12))</f>
        <v/>
      </c>
      <c r="N12" s="42" t="str">
        <f aca="false">IF(B12="","",IF(B12="İştirak",IF(E12&gt;=DATE(2024,11,27),Parametreler!$D$31,Parametreler!$D$32),IF(D12&lt;DATE(2023,7,15),IF(E12&gt;=DATE(2023,7,15),Parametreler!$D$33,0.5),0)))</f>
        <v/>
      </c>
      <c r="O12" s="33" t="str">
        <f aca="false">IF(B12="","",IF(T12="Uygun",MAX(0,M12)*N12,0))</f>
        <v/>
      </c>
      <c r="P12" s="25" t="str">
        <f aca="false">IF(E12="","",DATE(YEAR(E12)+2,12,31))</f>
        <v/>
      </c>
      <c r="Q12" s="26"/>
      <c r="R12" s="42" t="str">
        <f aca="false">IF(OR(J12="",N(J12)=0),"",MIN(1,N(Q12)/J12))</f>
        <v/>
      </c>
      <c r="S12" s="33" t="str">
        <f aca="false">IF(O12="","",O12*(1-N(R12)))</f>
        <v/>
      </c>
      <c r="T12" s="22" t="str">
        <f aca="false">IF(B12="","",IF(G12&lt;&gt;"Sağlanıyor","730 gün dolmamış – istisna yok",IF(H12="E","Ticari amaçla elde tutulan – kapsam dışı",IF(N12=0,"15.7.2023 ve sonrası edinilen taşınmaz – istisna yok",IF(I12&lt;&gt;"E","Fon hesabı yok – istisna uygulanmaz","Uygun")))))</f>
        <v/>
      </c>
    </row>
    <row r="13" customFormat="false" ht="15" hidden="false" customHeight="true" outlineLevel="0" collapsed="false">
      <c r="A13" s="28"/>
      <c r="B13" s="28"/>
      <c r="C13" s="28"/>
      <c r="D13" s="29"/>
      <c r="E13" s="29"/>
      <c r="F13" s="41" t="str">
        <f aca="false">IF(OR(D13="",E13=""),"",E13-D13)</f>
        <v/>
      </c>
      <c r="G13" s="22" t="str">
        <f aca="false">IF(F13="","",IF(F13&gt;=730,"Sağlanıyor","Sağlanmıyor"))</f>
        <v/>
      </c>
      <c r="H13" s="28"/>
      <c r="I13" s="28"/>
      <c r="J13" s="26"/>
      <c r="K13" s="26"/>
      <c r="L13" s="26"/>
      <c r="M13" s="33" t="str">
        <f aca="false">IF(J13="","",J13-N(K13)-N(L13))</f>
        <v/>
      </c>
      <c r="N13" s="42" t="str">
        <f aca="false">IF(B13="","",IF(B13="İştirak",IF(E13&gt;=DATE(2024,11,27),Parametreler!$D$31,Parametreler!$D$32),IF(D13&lt;DATE(2023,7,15),IF(E13&gt;=DATE(2023,7,15),Parametreler!$D$33,0.5),0)))</f>
        <v/>
      </c>
      <c r="O13" s="33" t="str">
        <f aca="false">IF(B13="","",IF(T13="Uygun",MAX(0,M13)*N13,0))</f>
        <v/>
      </c>
      <c r="P13" s="25" t="str">
        <f aca="false">IF(E13="","",DATE(YEAR(E13)+2,12,31))</f>
        <v/>
      </c>
      <c r="Q13" s="26"/>
      <c r="R13" s="42" t="str">
        <f aca="false">IF(OR(J13="",N(J13)=0),"",MIN(1,N(Q13)/J13))</f>
        <v/>
      </c>
      <c r="S13" s="33" t="str">
        <f aca="false">IF(O13="","",O13*(1-N(R13)))</f>
        <v/>
      </c>
      <c r="T13" s="22" t="str">
        <f aca="false">IF(B13="","",IF(G13&lt;&gt;"Sağlanıyor","730 gün dolmamış – istisna yok",IF(H13="E","Ticari amaçla elde tutulan – kapsam dışı",IF(N13=0,"15.7.2023 ve sonrası edinilen taşınmaz – istisna yok",IF(I13&lt;&gt;"E","Fon hesabı yok – istisna uygulanmaz","Uygun")))))</f>
        <v/>
      </c>
    </row>
    <row r="14" customFormat="false" ht="15" hidden="false" customHeight="true" outlineLevel="0" collapsed="false">
      <c r="A14" s="28"/>
      <c r="B14" s="28"/>
      <c r="C14" s="28"/>
      <c r="D14" s="29"/>
      <c r="E14" s="29"/>
      <c r="F14" s="41" t="str">
        <f aca="false">IF(OR(D14="",E14=""),"",E14-D14)</f>
        <v/>
      </c>
      <c r="G14" s="22" t="str">
        <f aca="false">IF(F14="","",IF(F14&gt;=730,"Sağlanıyor","Sağlanmıyor"))</f>
        <v/>
      </c>
      <c r="H14" s="28"/>
      <c r="I14" s="28"/>
      <c r="J14" s="26"/>
      <c r="K14" s="26"/>
      <c r="L14" s="26"/>
      <c r="M14" s="33" t="str">
        <f aca="false">IF(J14="","",J14-N(K14)-N(L14))</f>
        <v/>
      </c>
      <c r="N14" s="42" t="str">
        <f aca="false">IF(B14="","",IF(B14="İştirak",IF(E14&gt;=DATE(2024,11,27),Parametreler!$D$31,Parametreler!$D$32),IF(D14&lt;DATE(2023,7,15),IF(E14&gt;=DATE(2023,7,15),Parametreler!$D$33,0.5),0)))</f>
        <v/>
      </c>
      <c r="O14" s="33" t="str">
        <f aca="false">IF(B14="","",IF(T14="Uygun",MAX(0,M14)*N14,0))</f>
        <v/>
      </c>
      <c r="P14" s="25" t="str">
        <f aca="false">IF(E14="","",DATE(YEAR(E14)+2,12,31))</f>
        <v/>
      </c>
      <c r="Q14" s="26"/>
      <c r="R14" s="42" t="str">
        <f aca="false">IF(OR(J14="",N(J14)=0),"",MIN(1,N(Q14)/J14))</f>
        <v/>
      </c>
      <c r="S14" s="33" t="str">
        <f aca="false">IF(O14="","",O14*(1-N(R14)))</f>
        <v/>
      </c>
      <c r="T14" s="22" t="str">
        <f aca="false">IF(B14="","",IF(G14&lt;&gt;"Sağlanıyor","730 gün dolmamış – istisna yok",IF(H14="E","Ticari amaçla elde tutulan – kapsam dışı",IF(N14=0,"15.7.2023 ve sonrası edinilen taşınmaz – istisna yok",IF(I14&lt;&gt;"E","Fon hesabı yok – istisna uygulanmaz","Uygun")))))</f>
        <v/>
      </c>
    </row>
    <row r="15" customFormat="false" ht="15" hidden="false" customHeight="true" outlineLevel="0" collapsed="false">
      <c r="L15" s="31" t="s">
        <v>173</v>
      </c>
      <c r="M15" s="27" t="n">
        <f aca="false">SUM(M7:M14)</f>
        <v>11800000</v>
      </c>
      <c r="O15" s="27" t="n">
        <f aca="false">SUM(O7:O14)</f>
        <v>3950000</v>
      </c>
      <c r="S15" s="27" t="n">
        <f aca="false">SUM(S7:S14)</f>
        <v>500000</v>
      </c>
    </row>
    <row r="16" customFormat="false" ht="72" hidden="false" customHeight="true" outlineLevel="0" collapsed="false">
      <c r="A16" s="17" t="s">
        <v>637</v>
      </c>
      <c r="B16" s="17"/>
      <c r="C16" s="17"/>
      <c r="D16" s="17"/>
      <c r="E16" s="17"/>
      <c r="F16" s="17"/>
      <c r="G16" s="17"/>
      <c r="H16" s="17"/>
      <c r="I16" s="17"/>
      <c r="J16" s="17"/>
      <c r="K16" s="17"/>
      <c r="L16" s="17"/>
      <c r="M16" s="17"/>
      <c r="N16" s="17"/>
      <c r="O16" s="17"/>
      <c r="P16" s="17"/>
      <c r="Q16" s="17"/>
      <c r="R16" s="17"/>
      <c r="S16" s="17"/>
      <c r="T16" s="17"/>
    </row>
    <row r="18" customFormat="false" ht="15" hidden="false" customHeight="true" outlineLevel="0" collapsed="false">
      <c r="A18" s="8" t="s">
        <v>638</v>
      </c>
      <c r="B18" s="9"/>
      <c r="C18" s="9"/>
      <c r="D18" s="9"/>
      <c r="E18" s="9"/>
      <c r="F18" s="9"/>
      <c r="G18" s="9"/>
      <c r="H18" s="9"/>
      <c r="I18" s="9"/>
      <c r="J18" s="9"/>
      <c r="K18" s="9"/>
      <c r="L18" s="9"/>
      <c r="M18" s="9"/>
      <c r="N18" s="9"/>
      <c r="O18" s="9"/>
      <c r="P18" s="9"/>
      <c r="Q18" s="9"/>
      <c r="R18" s="9"/>
      <c r="S18" s="9"/>
      <c r="T18" s="9"/>
    </row>
    <row r="19" customFormat="false" ht="42" hidden="false" customHeight="true" outlineLevel="0" collapsed="false">
      <c r="A19" s="4" t="s">
        <v>612</v>
      </c>
      <c r="B19" s="4" t="s">
        <v>639</v>
      </c>
      <c r="C19" s="4" t="s">
        <v>640</v>
      </c>
      <c r="D19" s="4" t="s">
        <v>641</v>
      </c>
      <c r="E19" s="4" t="s">
        <v>642</v>
      </c>
      <c r="F19" s="4" t="s">
        <v>643</v>
      </c>
      <c r="G19" s="4" t="s">
        <v>644</v>
      </c>
      <c r="H19" s="4" t="s">
        <v>645</v>
      </c>
      <c r="I19" s="4" t="s">
        <v>646</v>
      </c>
      <c r="J19" s="4" t="s">
        <v>647</v>
      </c>
      <c r="K19" s="4" t="s">
        <v>648</v>
      </c>
      <c r="L19" s="4"/>
      <c r="M19" s="4"/>
      <c r="N19" s="4"/>
      <c r="O19" s="4"/>
      <c r="P19" s="4"/>
      <c r="Q19" s="4"/>
      <c r="R19" s="4"/>
      <c r="S19" s="4"/>
      <c r="T19" s="4"/>
    </row>
    <row r="20" customFormat="false" ht="15" hidden="false" customHeight="true" outlineLevel="0" collapsed="false">
      <c r="A20" s="28" t="s">
        <v>649</v>
      </c>
      <c r="B20" s="28" t="s">
        <v>650</v>
      </c>
      <c r="C20" s="28" t="s">
        <v>651</v>
      </c>
      <c r="D20" s="43" t="n">
        <v>2500</v>
      </c>
      <c r="E20" s="28" t="s">
        <v>153</v>
      </c>
      <c r="F20" s="28" t="s">
        <v>652</v>
      </c>
      <c r="G20" s="28" t="s">
        <v>153</v>
      </c>
      <c r="H20" s="29"/>
      <c r="I20" s="29" t="n">
        <v>46387</v>
      </c>
      <c r="J20" s="28" t="s">
        <v>653</v>
      </c>
      <c r="K20" s="28" t="s">
        <v>299</v>
      </c>
    </row>
    <row r="21" customFormat="false" ht="15" hidden="false" customHeight="true" outlineLevel="0" collapsed="false">
      <c r="A21" s="28"/>
      <c r="B21" s="28"/>
      <c r="C21" s="28"/>
      <c r="D21" s="43"/>
      <c r="E21" s="28"/>
      <c r="F21" s="28"/>
      <c r="G21" s="28"/>
      <c r="H21" s="29"/>
      <c r="I21" s="29"/>
      <c r="J21" s="28"/>
      <c r="K21" s="28"/>
    </row>
    <row r="22" customFormat="false" ht="15" hidden="false" customHeight="true" outlineLevel="0" collapsed="false">
      <c r="A22" s="28"/>
      <c r="B22" s="28"/>
      <c r="C22" s="28"/>
      <c r="D22" s="43"/>
      <c r="E22" s="28"/>
      <c r="F22" s="28"/>
      <c r="G22" s="28"/>
      <c r="H22" s="29"/>
      <c r="I22" s="29"/>
      <c r="J22" s="28"/>
      <c r="K22" s="28"/>
    </row>
    <row r="23" customFormat="false" ht="15" hidden="false" customHeight="true" outlineLevel="0" collapsed="false">
      <c r="A23" s="28"/>
      <c r="B23" s="28"/>
      <c r="C23" s="28"/>
      <c r="D23" s="43"/>
      <c r="E23" s="28"/>
      <c r="F23" s="28"/>
      <c r="G23" s="28"/>
      <c r="H23" s="29"/>
      <c r="I23" s="29"/>
      <c r="J23" s="28"/>
      <c r="K23" s="28"/>
    </row>
    <row r="24" customFormat="false" ht="15" hidden="false" customHeight="true" outlineLevel="0" collapsed="false">
      <c r="A24" s="28"/>
      <c r="B24" s="28"/>
      <c r="C24" s="28"/>
      <c r="D24" s="43"/>
      <c r="E24" s="28"/>
      <c r="F24" s="28"/>
      <c r="G24" s="28"/>
      <c r="H24" s="29"/>
      <c r="I24" s="29"/>
      <c r="J24" s="28"/>
      <c r="K24" s="28"/>
    </row>
    <row r="25" customFormat="false" ht="15" hidden="false" customHeight="true" outlineLevel="0" collapsed="false">
      <c r="A25" s="28"/>
      <c r="B25" s="28"/>
      <c r="C25" s="28"/>
      <c r="D25" s="43"/>
      <c r="E25" s="28"/>
      <c r="F25" s="28"/>
      <c r="G25" s="28"/>
      <c r="H25" s="29"/>
      <c r="I25" s="29"/>
      <c r="J25" s="28"/>
      <c r="K25" s="28"/>
    </row>
    <row r="26" customFormat="false" ht="15" hidden="false" customHeight="true" outlineLevel="0" collapsed="false">
      <c r="A26" s="28"/>
      <c r="B26" s="28"/>
      <c r="C26" s="28"/>
      <c r="D26" s="43"/>
      <c r="E26" s="28"/>
      <c r="F26" s="28"/>
      <c r="G26" s="28"/>
      <c r="H26" s="29"/>
      <c r="I26" s="29"/>
      <c r="J26" s="28"/>
      <c r="K26" s="28"/>
    </row>
    <row r="27" customFormat="false" ht="15" hidden="false" customHeight="true" outlineLevel="0" collapsed="false">
      <c r="A27" s="28"/>
      <c r="B27" s="28"/>
      <c r="C27" s="28"/>
      <c r="D27" s="43"/>
      <c r="E27" s="28"/>
      <c r="F27" s="28"/>
      <c r="G27" s="28"/>
      <c r="H27" s="29"/>
      <c r="I27" s="29"/>
      <c r="J27" s="28"/>
      <c r="K27" s="28"/>
    </row>
  </sheetData>
  <mergeCells count="1">
    <mergeCell ref="A16:T16"/>
  </mergeCells>
  <conditionalFormatting sqref="T7">
    <cfRule type="expression" priority="2" aboveAverage="0" equalAverage="0" bottom="0" percent="0" rank="0" text="" dxfId="0">
      <formula>OR(LEFT(T7,6)="Uyumlu",LEFT(T7,5)="Tamam",LEFT(T7,5)="Uygun")</formula>
    </cfRule>
    <cfRule type="expression" priority="3" aboveAverage="0" equalAverage="0" bottom="0" percent="0" rank="0" text="" dxfId="1">
      <formula>NOT(OR(LEFT(T7,6)="Uyumlu",LEFT(T7,5)="Tamam",LEFT(T7,5)="Uygun",T7=""))</formula>
    </cfRule>
  </conditionalFormatting>
  <conditionalFormatting sqref="T8">
    <cfRule type="expression" priority="4" aboveAverage="0" equalAverage="0" bottom="0" percent="0" rank="0" text="" dxfId="0">
      <formula>OR(LEFT(T8,6)="Uyumlu",LEFT(T8,5)="Tamam",LEFT(T8,5)="Uygun")</formula>
    </cfRule>
    <cfRule type="expression" priority="5" aboveAverage="0" equalAverage="0" bottom="0" percent="0" rank="0" text="" dxfId="1">
      <formula>NOT(OR(LEFT(T8,6)="Uyumlu",LEFT(T8,5)="Tamam",LEFT(T8,5)="Uygun",T8=""))</formula>
    </cfRule>
  </conditionalFormatting>
  <conditionalFormatting sqref="T9">
    <cfRule type="expression" priority="6" aboveAverage="0" equalAverage="0" bottom="0" percent="0" rank="0" text="" dxfId="0">
      <formula>OR(LEFT(T9,6)="Uyumlu",LEFT(T9,5)="Tamam",LEFT(T9,5)="Uygun")</formula>
    </cfRule>
    <cfRule type="expression" priority="7" aboveAverage="0" equalAverage="0" bottom="0" percent="0" rank="0" text="" dxfId="1">
      <formula>NOT(OR(LEFT(T9,6)="Uyumlu",LEFT(T9,5)="Tamam",LEFT(T9,5)="Uygun",T9=""))</formula>
    </cfRule>
  </conditionalFormatting>
  <conditionalFormatting sqref="T10">
    <cfRule type="expression" priority="8" aboveAverage="0" equalAverage="0" bottom="0" percent="0" rank="0" text="" dxfId="0">
      <formula>OR(LEFT(T10,6)="Uyumlu",LEFT(T10,5)="Tamam",LEFT(T10,5)="Uygun")</formula>
    </cfRule>
    <cfRule type="expression" priority="9" aboveAverage="0" equalAverage="0" bottom="0" percent="0" rank="0" text="" dxfId="1">
      <formula>NOT(OR(LEFT(T10,6)="Uyumlu",LEFT(T10,5)="Tamam",LEFT(T10,5)="Uygun",T10=""))</formula>
    </cfRule>
  </conditionalFormatting>
  <conditionalFormatting sqref="T11">
    <cfRule type="expression" priority="10" aboveAverage="0" equalAverage="0" bottom="0" percent="0" rank="0" text="" dxfId="0">
      <formula>OR(LEFT(T11,6)="Uyumlu",LEFT(T11,5)="Tamam",LEFT(T11,5)="Uygun")</formula>
    </cfRule>
    <cfRule type="expression" priority="11" aboveAverage="0" equalAverage="0" bottom="0" percent="0" rank="0" text="" dxfId="1">
      <formula>NOT(OR(LEFT(T11,6)="Uyumlu",LEFT(T11,5)="Tamam",LEFT(T11,5)="Uygun",T11=""))</formula>
    </cfRule>
  </conditionalFormatting>
  <conditionalFormatting sqref="T12">
    <cfRule type="expression" priority="12" aboveAverage="0" equalAverage="0" bottom="0" percent="0" rank="0" text="" dxfId="0">
      <formula>OR(LEFT(T12,6)="Uyumlu",LEFT(T12,5)="Tamam",LEFT(T12,5)="Uygun")</formula>
    </cfRule>
    <cfRule type="expression" priority="13" aboveAverage="0" equalAverage="0" bottom="0" percent="0" rank="0" text="" dxfId="1">
      <formula>NOT(OR(LEFT(T12,6)="Uyumlu",LEFT(T12,5)="Tamam",LEFT(T12,5)="Uygun",T12=""))</formula>
    </cfRule>
  </conditionalFormatting>
  <conditionalFormatting sqref="T13">
    <cfRule type="expression" priority="14" aboveAverage="0" equalAverage="0" bottom="0" percent="0" rank="0" text="" dxfId="0">
      <formula>OR(LEFT(T13,6)="Uyumlu",LEFT(T13,5)="Tamam",LEFT(T13,5)="Uygun")</formula>
    </cfRule>
    <cfRule type="expression" priority="15" aboveAverage="0" equalAverage="0" bottom="0" percent="0" rank="0" text="" dxfId="1">
      <formula>NOT(OR(LEFT(T13,6)="Uyumlu",LEFT(T13,5)="Tamam",LEFT(T13,5)="Uygun",T13=""))</formula>
    </cfRule>
  </conditionalFormatting>
  <conditionalFormatting sqref="T14">
    <cfRule type="expression" priority="16" aboveAverage="0" equalAverage="0" bottom="0" percent="0" rank="0" text="" dxfId="0">
      <formula>OR(LEFT(T14,6)="Uyumlu",LEFT(T14,5)="Tamam",LEFT(T14,5)="Uygun")</formula>
    </cfRule>
    <cfRule type="expression" priority="17" aboveAverage="0" equalAverage="0" bottom="0" percent="0" rank="0" text="" dxfId="1">
      <formula>NOT(OR(LEFT(T14,6)="Uyumlu",LEFT(T14,5)="Tamam",LEFT(T14,5)="Uygun",T14=""))</formula>
    </cfRule>
  </conditionalFormatting>
  <dataValidations count="4">
    <dataValidation allowBlank="true" errorStyle="stop" operator="between" showDropDown="false" showErrorMessage="false" showInputMessage="false" sqref="B7:B14" type="list">
      <formula1>"Taşınmaz,İştirak"</formula1>
      <formula2>0</formula2>
    </dataValidation>
    <dataValidation allowBlank="true" errorStyle="stop" operator="between" showDropDown="false" showErrorMessage="false" showInputMessage="false" sqref="C7:C14" type="list">
      <formula1>"Satın alma,Devir / bölünme (devredenin süresi dahil),Bedelsiz pay (ilk edinim tarihi esas),Diğer"</formula1>
      <formula2>0</formula2>
    </dataValidation>
    <dataValidation allowBlank="true" errorStyle="stop" operator="between" showDropDown="false" showErrorMessage="false" showInputMessage="false" sqref="H7:I14" type="list">
      <formula1>"E,H"</formula1>
      <formula2>0</formula2>
    </dataValidation>
    <dataValidation allowBlank="true" errorStyle="stop" operator="between" showDropDown="false" showErrorMessage="false" showInputMessage="false" sqref="K20:K27"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2"/>
    <col collapsed="false" customWidth="true" hidden="false" outlineLevel="0" max="2" min="2" style="1" width="12"/>
    <col collapsed="false" customWidth="true" hidden="false" outlineLevel="0" max="3" min="3" style="1" width="10"/>
    <col collapsed="false" customWidth="true" hidden="false" outlineLevel="0" max="5" min="4" style="1" width="12"/>
    <col collapsed="false" customWidth="true" hidden="false" outlineLevel="0" max="6" min="6" style="1" width="14"/>
    <col collapsed="false" customWidth="true" hidden="false" outlineLevel="0" max="8" min="7" style="1" width="11"/>
    <col collapsed="false" customWidth="true" hidden="false" outlineLevel="0" max="10" min="9" style="1" width="12"/>
    <col collapsed="false" customWidth="true" hidden="false" outlineLevel="0" max="12" min="11" style="1" width="16"/>
    <col collapsed="false" customWidth="true" hidden="false" outlineLevel="0" max="13" min="13" style="1" width="9"/>
    <col collapsed="false" customWidth="true" hidden="false" outlineLevel="0" max="14" min="14" style="1" width="14"/>
    <col collapsed="false" customWidth="true" hidden="false" outlineLevel="0" max="15" min="15" style="1" width="30"/>
  </cols>
  <sheetData>
    <row r="1" customFormat="false" ht="17.25" hidden="false" customHeight="true" outlineLevel="0" collapsed="false">
      <c r="A1" s="18" t="s">
        <v>654</v>
      </c>
    </row>
    <row r="2" customFormat="false" ht="15" hidden="false" customHeight="true" outlineLevel="0" collapsed="false">
      <c r="A2" s="19" t="s">
        <v>655</v>
      </c>
    </row>
    <row r="3" customFormat="false" ht="15" hidden="false" customHeight="true" outlineLevel="0" collapsed="false">
      <c r="A3" s="20" t="s">
        <v>73</v>
      </c>
    </row>
    <row r="5" customFormat="false" ht="15" hidden="false" customHeight="true" outlineLevel="0" collapsed="false">
      <c r="A5" s="8" t="s">
        <v>656</v>
      </c>
      <c r="B5" s="9"/>
      <c r="C5" s="9"/>
      <c r="D5" s="9"/>
      <c r="E5" s="9"/>
      <c r="F5" s="9"/>
      <c r="G5" s="9"/>
      <c r="H5" s="9"/>
      <c r="I5" s="9"/>
      <c r="J5" s="9"/>
      <c r="K5" s="9"/>
      <c r="L5" s="9"/>
      <c r="M5" s="9"/>
      <c r="N5" s="9"/>
      <c r="O5" s="9"/>
    </row>
    <row r="6" customFormat="false" ht="42" hidden="false" customHeight="true" outlineLevel="0" collapsed="false">
      <c r="A6" s="4" t="s">
        <v>657</v>
      </c>
      <c r="B6" s="4" t="s">
        <v>658</v>
      </c>
      <c r="C6" s="4" t="s">
        <v>659</v>
      </c>
      <c r="D6" s="4" t="s">
        <v>660</v>
      </c>
      <c r="E6" s="4" t="s">
        <v>661</v>
      </c>
      <c r="F6" s="4" t="s">
        <v>662</v>
      </c>
      <c r="G6" s="4" t="s">
        <v>663</v>
      </c>
      <c r="H6" s="4"/>
      <c r="I6" s="4"/>
      <c r="J6" s="4"/>
      <c r="K6" s="4"/>
      <c r="L6" s="4"/>
      <c r="M6" s="4"/>
      <c r="N6" s="4"/>
      <c r="O6" s="4" t="s">
        <v>166</v>
      </c>
    </row>
    <row r="7" customFormat="false" ht="15" hidden="false" customHeight="true" outlineLevel="0" collapsed="false">
      <c r="A7" s="28" t="s">
        <v>664</v>
      </c>
      <c r="B7" s="28" t="s">
        <v>153</v>
      </c>
      <c r="C7" s="28" t="s">
        <v>251</v>
      </c>
      <c r="D7" s="29" t="n">
        <v>46162</v>
      </c>
      <c r="E7" s="26" t="n">
        <v>1000000</v>
      </c>
      <c r="F7" s="28" t="s">
        <v>299</v>
      </c>
      <c r="G7" s="33" t="n">
        <f aca="false">IF(E7="","",IF(AND(C7="E",F7="H"),E7,0))</f>
        <v>1000000</v>
      </c>
      <c r="O7" s="28"/>
    </row>
    <row r="8" customFormat="false" ht="15" hidden="false" customHeight="true" outlineLevel="0" collapsed="false">
      <c r="A8" s="28"/>
      <c r="B8" s="28"/>
      <c r="C8" s="28"/>
      <c r="D8" s="29"/>
      <c r="E8" s="26"/>
      <c r="F8" s="28"/>
      <c r="G8" s="33" t="str">
        <f aca="false">IF(E8="","",IF(AND(C8="E",F8="H"),E8,0))</f>
        <v/>
      </c>
      <c r="O8" s="28"/>
    </row>
    <row r="9" customFormat="false" ht="15" hidden="false" customHeight="true" outlineLevel="0" collapsed="false">
      <c r="A9" s="28"/>
      <c r="B9" s="28"/>
      <c r="C9" s="28"/>
      <c r="D9" s="29"/>
      <c r="E9" s="26"/>
      <c r="F9" s="28"/>
      <c r="G9" s="33" t="str">
        <f aca="false">IF(E9="","",IF(AND(C9="E",F9="H"),E9,0))</f>
        <v/>
      </c>
      <c r="O9" s="28"/>
    </row>
    <row r="10" customFormat="false" ht="15" hidden="false" customHeight="true" outlineLevel="0" collapsed="false">
      <c r="A10" s="28"/>
      <c r="B10" s="28"/>
      <c r="C10" s="28"/>
      <c r="D10" s="29"/>
      <c r="E10" s="26"/>
      <c r="F10" s="28"/>
      <c r="G10" s="33" t="str">
        <f aca="false">IF(E10="","",IF(AND(C10="E",F10="H"),E10,0))</f>
        <v/>
      </c>
      <c r="O10" s="28"/>
    </row>
    <row r="11" customFormat="false" ht="15" hidden="false" customHeight="true" outlineLevel="0" collapsed="false">
      <c r="A11" s="28"/>
      <c r="B11" s="28"/>
      <c r="C11" s="28"/>
      <c r="D11" s="29"/>
      <c r="E11" s="26"/>
      <c r="F11" s="28"/>
      <c r="G11" s="33" t="str">
        <f aca="false">IF(E11="","",IF(AND(C11="E",F11="H"),E11,0))</f>
        <v/>
      </c>
      <c r="O11" s="28"/>
    </row>
    <row r="12" customFormat="false" ht="15" hidden="false" customHeight="true" outlineLevel="0" collapsed="false">
      <c r="A12" s="28"/>
      <c r="B12" s="28"/>
      <c r="C12" s="28"/>
      <c r="D12" s="29"/>
      <c r="E12" s="26"/>
      <c r="F12" s="28"/>
      <c r="G12" s="33" t="str">
        <f aca="false">IF(E12="","",IF(AND(C12="E",F12="H"),E12,0))</f>
        <v/>
      </c>
      <c r="O12" s="28"/>
    </row>
    <row r="13" customFormat="false" ht="15" hidden="false" customHeight="true" outlineLevel="0" collapsed="false">
      <c r="D13" s="31" t="s">
        <v>173</v>
      </c>
      <c r="E13" s="27" t="n">
        <f aca="false">SUM(E7:E12)</f>
        <v>1000000</v>
      </c>
      <c r="G13" s="27" t="n">
        <f aca="false">SUM(G7:G12)</f>
        <v>1000000</v>
      </c>
    </row>
    <row r="15" customFormat="false" ht="15" hidden="false" customHeight="true" outlineLevel="0" collapsed="false">
      <c r="A15" s="8" t="s">
        <v>665</v>
      </c>
      <c r="B15" s="9"/>
      <c r="C15" s="9"/>
      <c r="D15" s="9"/>
      <c r="E15" s="9"/>
      <c r="F15" s="9"/>
      <c r="G15" s="9"/>
      <c r="H15" s="9"/>
      <c r="I15" s="9"/>
      <c r="J15" s="9"/>
      <c r="K15" s="9"/>
      <c r="L15" s="9"/>
      <c r="M15" s="9"/>
      <c r="N15" s="9"/>
      <c r="O15" s="9"/>
    </row>
    <row r="16" customFormat="false" ht="42" hidden="false" customHeight="true" outlineLevel="0" collapsed="false">
      <c r="A16" s="4" t="s">
        <v>635</v>
      </c>
      <c r="B16" s="4" t="s">
        <v>395</v>
      </c>
      <c r="C16" s="4" t="s">
        <v>164</v>
      </c>
      <c r="D16" s="4" t="s">
        <v>666</v>
      </c>
      <c r="E16" s="4" t="s">
        <v>660</v>
      </c>
      <c r="F16" s="4" t="s">
        <v>661</v>
      </c>
      <c r="G16" s="4" t="s">
        <v>667</v>
      </c>
      <c r="H16" s="4" t="s">
        <v>668</v>
      </c>
      <c r="I16" s="4" t="s">
        <v>669</v>
      </c>
      <c r="J16" s="4" t="s">
        <v>670</v>
      </c>
      <c r="K16" s="4" t="s">
        <v>671</v>
      </c>
      <c r="L16" s="4" t="s">
        <v>672</v>
      </c>
      <c r="M16" s="4" t="s">
        <v>673</v>
      </c>
      <c r="N16" s="4" t="s">
        <v>663</v>
      </c>
      <c r="O16" s="4" t="s">
        <v>674</v>
      </c>
    </row>
    <row r="17" customFormat="false" ht="15" hidden="false" customHeight="true" outlineLevel="0" collapsed="false">
      <c r="A17" s="28" t="s">
        <v>675</v>
      </c>
      <c r="B17" s="28" t="s">
        <v>408</v>
      </c>
      <c r="C17" s="44" t="n">
        <v>0.6</v>
      </c>
      <c r="D17" s="29" t="n">
        <v>43952</v>
      </c>
      <c r="E17" s="29" t="n">
        <v>46203</v>
      </c>
      <c r="F17" s="26" t="n">
        <v>500000</v>
      </c>
      <c r="G17" s="45" t="n">
        <f aca="false">IF(H27="","",H27)</f>
        <v>0.3</v>
      </c>
      <c r="H17" s="44" t="n">
        <v>0.15</v>
      </c>
      <c r="I17" s="29" t="n">
        <v>46223</v>
      </c>
      <c r="J17" s="25" t="n">
        <f aca="false">IF(A17="","",Parametreler!$D$12)</f>
        <v>46507</v>
      </c>
      <c r="K17" s="22" t="str">
        <f aca="false">IF(A17="","",IF(AND(C17&gt;=Parametreler!$D$36,E17-D17&gt;=365,N(G17)&gt;=H17,I17&lt;&gt;"",I17&lt;=J17),"Sağlanıyor","Sağlanmıyor"))</f>
        <v>Sağlanıyor</v>
      </c>
      <c r="L17" s="22" t="str">
        <f aca="false">IF(A17="","",IF(AND(C17&gt;=Parametreler!$D$35,I17&lt;&gt;"",I17&lt;=J17),"Sağlanıyor","Sağlanmıyor"))</f>
        <v>Sağlanıyor</v>
      </c>
      <c r="M17" s="42" t="n">
        <f aca="false">IF(A17="","",IF(K17="Sağlanıyor",1,IF(L17="Sağlanıyor",Parametreler!$D$34,0)))</f>
        <v>1</v>
      </c>
      <c r="N17" s="33" t="n">
        <f aca="false">IF(A17="","",F17*M17)</f>
        <v>500000</v>
      </c>
      <c r="O17" s="22" t="str">
        <f aca="false">IF(A17="","",IF(M17=1,"Genel istisna – tamamı istisna",IF(M17&gt;0,"%80 istisna – kalan %20 vergilendirilir","Şart eksik – istisna yok")))</f>
        <v>Genel istisna – tamamı istisna</v>
      </c>
    </row>
    <row r="18" customFormat="false" ht="15" hidden="false" customHeight="true" outlineLevel="0" collapsed="false">
      <c r="A18" s="28" t="s">
        <v>676</v>
      </c>
      <c r="B18" s="28" t="s">
        <v>677</v>
      </c>
      <c r="C18" s="44" t="n">
        <v>0.25</v>
      </c>
      <c r="D18" s="29" t="n">
        <v>45352</v>
      </c>
      <c r="E18" s="29" t="n">
        <v>46295</v>
      </c>
      <c r="F18" s="26" t="n">
        <v>2000000</v>
      </c>
      <c r="G18" s="45" t="n">
        <f aca="false">IF(H28="","",H28)</f>
        <v>0.09</v>
      </c>
      <c r="H18" s="44" t="n">
        <v>0.15</v>
      </c>
      <c r="I18" s="29" t="n">
        <v>46310</v>
      </c>
      <c r="J18" s="25" t="n">
        <f aca="false">IF(A18="","",Parametreler!$D$12)</f>
        <v>46507</v>
      </c>
      <c r="K18" s="22" t="str">
        <f aca="false">IF(A18="","",IF(AND(C18&gt;=Parametreler!$D$36,E18-D18&gt;=365,N(G18)&gt;=H18,I18&lt;&gt;"",I18&lt;=J18),"Sağlanıyor","Sağlanmıyor"))</f>
        <v>Sağlanmıyor</v>
      </c>
      <c r="L18" s="22" t="str">
        <f aca="false">IF(A18="","",IF(AND(C18&gt;=Parametreler!$D$35,I18&lt;&gt;"",I18&lt;=J18),"Sağlanıyor","Sağlanmıyor"))</f>
        <v>Sağlanıyor</v>
      </c>
      <c r="M18" s="42" t="n">
        <f aca="false">IF(A18="","",IF(K18="Sağlanıyor",1,IF(L18="Sağlanıyor",Parametreler!$D$34,0)))</f>
        <v>0.8</v>
      </c>
      <c r="N18" s="33" t="n">
        <f aca="false">IF(A18="","",F18*M18)</f>
        <v>1600000</v>
      </c>
      <c r="O18" s="22" t="str">
        <f aca="false">IF(A18="","",IF(M18=1,"Genel istisna – tamamı istisna",IF(M18&gt;0,"%80 istisna – kalan %20 vergilendirilir","Şart eksik – istisna yok")))</f>
        <v>%80 istisna – kalan %20 vergilendirilir</v>
      </c>
    </row>
    <row r="19" customFormat="false" ht="15" hidden="false" customHeight="true" outlineLevel="0" collapsed="false">
      <c r="A19" s="28"/>
      <c r="B19" s="28"/>
      <c r="C19" s="44"/>
      <c r="D19" s="29"/>
      <c r="E19" s="29"/>
      <c r="F19" s="26"/>
      <c r="G19" s="45" t="str">
        <f aca="false">IF(H29="","",H29)</f>
        <v/>
      </c>
      <c r="H19" s="44"/>
      <c r="I19" s="29"/>
      <c r="J19" s="25" t="str">
        <f aca="false">IF(A19="","",Parametreler!$D$12)</f>
        <v/>
      </c>
      <c r="K19" s="22" t="str">
        <f aca="false">IF(A19="","",IF(AND(C19&gt;=Parametreler!$D$36,E19-D19&gt;=365,N(G19)&gt;=H19,I19&lt;&gt;"",I19&lt;=J19),"Sağlanıyor","Sağlanmıyor"))</f>
        <v/>
      </c>
      <c r="L19" s="22" t="str">
        <f aca="false">IF(A19="","",IF(AND(C19&gt;=Parametreler!$D$35,I19&lt;&gt;"",I19&lt;=J19),"Sağlanıyor","Sağlanmıyor"))</f>
        <v/>
      </c>
      <c r="M19" s="42" t="str">
        <f aca="false">IF(A19="","",IF(K19="Sağlanıyor",1,IF(L19="Sağlanıyor",Parametreler!$D$34,0)))</f>
        <v/>
      </c>
      <c r="N19" s="33" t="str">
        <f aca="false">IF(A19="","",F19*M19)</f>
        <v/>
      </c>
      <c r="O19" s="22" t="str">
        <f aca="false">IF(A19="","",IF(M19=1,"Genel istisna – tamamı istisna",IF(M19&gt;0,"%80 istisna – kalan %20 vergilendirilir","Şart eksik – istisna yok")))</f>
        <v/>
      </c>
    </row>
    <row r="20" customFormat="false" ht="15" hidden="false" customHeight="true" outlineLevel="0" collapsed="false">
      <c r="A20" s="28"/>
      <c r="B20" s="28"/>
      <c r="C20" s="44"/>
      <c r="D20" s="29"/>
      <c r="E20" s="29"/>
      <c r="F20" s="26"/>
      <c r="G20" s="45" t="str">
        <f aca="false">IF(H30="","",H30)</f>
        <v/>
      </c>
      <c r="H20" s="44"/>
      <c r="I20" s="29"/>
      <c r="J20" s="25" t="str">
        <f aca="false">IF(A20="","",Parametreler!$D$12)</f>
        <v/>
      </c>
      <c r="K20" s="22" t="str">
        <f aca="false">IF(A20="","",IF(AND(C20&gt;=Parametreler!$D$36,E20-D20&gt;=365,N(G20)&gt;=H20,I20&lt;&gt;"",I20&lt;=J20),"Sağlanıyor","Sağlanmıyor"))</f>
        <v/>
      </c>
      <c r="L20" s="22" t="str">
        <f aca="false">IF(A20="","",IF(AND(C20&gt;=Parametreler!$D$35,I20&lt;&gt;"",I20&lt;=J20),"Sağlanıyor","Sağlanmıyor"))</f>
        <v/>
      </c>
      <c r="M20" s="42" t="str">
        <f aca="false">IF(A20="","",IF(K20="Sağlanıyor",1,IF(L20="Sağlanıyor",Parametreler!$D$34,0)))</f>
        <v/>
      </c>
      <c r="N20" s="33" t="str">
        <f aca="false">IF(A20="","",F20*M20)</f>
        <v/>
      </c>
      <c r="O20" s="22" t="str">
        <f aca="false">IF(A20="","",IF(M20=1,"Genel istisna – tamamı istisna",IF(M20&gt;0,"%80 istisna – kalan %20 vergilendirilir","Şart eksik – istisna yok")))</f>
        <v/>
      </c>
    </row>
    <row r="21" customFormat="false" ht="15" hidden="false" customHeight="true" outlineLevel="0" collapsed="false">
      <c r="A21" s="28"/>
      <c r="B21" s="28"/>
      <c r="C21" s="44"/>
      <c r="D21" s="29"/>
      <c r="E21" s="29"/>
      <c r="F21" s="26"/>
      <c r="G21" s="45" t="str">
        <f aca="false">IF(H31="","",H31)</f>
        <v/>
      </c>
      <c r="H21" s="44"/>
      <c r="I21" s="29"/>
      <c r="J21" s="25" t="str">
        <f aca="false">IF(A21="","",Parametreler!$D$12)</f>
        <v/>
      </c>
      <c r="K21" s="22" t="str">
        <f aca="false">IF(A21="","",IF(AND(C21&gt;=Parametreler!$D$36,E21-D21&gt;=365,N(G21)&gt;=H21,I21&lt;&gt;"",I21&lt;=J21),"Sağlanıyor","Sağlanmıyor"))</f>
        <v/>
      </c>
      <c r="L21" s="22" t="str">
        <f aca="false">IF(A21="","",IF(AND(C21&gt;=Parametreler!$D$35,I21&lt;&gt;"",I21&lt;=J21),"Sağlanıyor","Sağlanmıyor"))</f>
        <v/>
      </c>
      <c r="M21" s="42" t="str">
        <f aca="false">IF(A21="","",IF(K21="Sağlanıyor",1,IF(L21="Sağlanıyor",Parametreler!$D$34,0)))</f>
        <v/>
      </c>
      <c r="N21" s="33" t="str">
        <f aca="false">IF(A21="","",F21*M21)</f>
        <v/>
      </c>
      <c r="O21" s="22" t="str">
        <f aca="false">IF(A21="","",IF(M21=1,"Genel istisna – tamamı istisna",IF(M21&gt;0,"%80 istisna – kalan %20 vergilendirilir","Şart eksik – istisna yok")))</f>
        <v/>
      </c>
    </row>
    <row r="22" customFormat="false" ht="15" hidden="false" customHeight="true" outlineLevel="0" collapsed="false">
      <c r="A22" s="28"/>
      <c r="B22" s="28"/>
      <c r="C22" s="44"/>
      <c r="D22" s="29"/>
      <c r="E22" s="29"/>
      <c r="F22" s="26"/>
      <c r="G22" s="45" t="str">
        <f aca="false">IF(H32="","",H32)</f>
        <v/>
      </c>
      <c r="H22" s="44"/>
      <c r="I22" s="29"/>
      <c r="J22" s="25" t="str">
        <f aca="false">IF(A22="","",Parametreler!$D$12)</f>
        <v/>
      </c>
      <c r="K22" s="22" t="str">
        <f aca="false">IF(A22="","",IF(AND(C22&gt;=Parametreler!$D$36,E22-D22&gt;=365,N(G22)&gt;=H22,I22&lt;&gt;"",I22&lt;=J22),"Sağlanıyor","Sağlanmıyor"))</f>
        <v/>
      </c>
      <c r="L22" s="22" t="str">
        <f aca="false">IF(A22="","",IF(AND(C22&gt;=Parametreler!$D$35,I22&lt;&gt;"",I22&lt;=J22),"Sağlanıyor","Sağlanmıyor"))</f>
        <v/>
      </c>
      <c r="M22" s="42" t="str">
        <f aca="false">IF(A22="","",IF(K22="Sağlanıyor",1,IF(L22="Sağlanıyor",Parametreler!$D$34,0)))</f>
        <v/>
      </c>
      <c r="N22" s="33" t="str">
        <f aca="false">IF(A22="","",F22*M22)</f>
        <v/>
      </c>
      <c r="O22" s="22" t="str">
        <f aca="false">IF(A22="","",IF(M22=1,"Genel istisna – tamamı istisna",IF(M22&gt;0,"%80 istisna – kalan %20 vergilendirilir","Şart eksik – istisna yok")))</f>
        <v/>
      </c>
    </row>
    <row r="23" customFormat="false" ht="15" hidden="false" customHeight="true" outlineLevel="0" collapsed="false">
      <c r="E23" s="31" t="s">
        <v>173</v>
      </c>
      <c r="F23" s="27" t="n">
        <f aca="false">SUM(F17:F22)</f>
        <v>2500000</v>
      </c>
      <c r="N23" s="27" t="n">
        <f aca="false">SUM(N17:N22)</f>
        <v>2100000</v>
      </c>
    </row>
    <row r="24" customFormat="false" ht="79.5" hidden="false" customHeight="true" outlineLevel="0" collapsed="false">
      <c r="A24" s="17" t="s">
        <v>678</v>
      </c>
      <c r="B24" s="17"/>
      <c r="C24" s="17"/>
      <c r="D24" s="17"/>
      <c r="E24" s="17"/>
      <c r="F24" s="17"/>
      <c r="G24" s="17"/>
      <c r="H24" s="17"/>
      <c r="I24" s="17"/>
      <c r="J24" s="17"/>
      <c r="K24" s="17"/>
      <c r="L24" s="17"/>
      <c r="M24" s="17"/>
      <c r="N24" s="17"/>
      <c r="O24" s="17"/>
    </row>
    <row r="25" customFormat="false" ht="15" hidden="false" customHeight="true" outlineLevel="0" collapsed="false">
      <c r="A25" s="8" t="s">
        <v>679</v>
      </c>
      <c r="B25" s="9"/>
      <c r="C25" s="9"/>
      <c r="D25" s="9"/>
      <c r="E25" s="9"/>
      <c r="F25" s="9"/>
      <c r="G25" s="9"/>
      <c r="H25" s="9"/>
      <c r="I25" s="9"/>
      <c r="J25" s="9"/>
      <c r="K25" s="9"/>
      <c r="L25" s="9"/>
      <c r="M25" s="9"/>
      <c r="N25" s="9"/>
      <c r="O25" s="9"/>
    </row>
    <row r="26" customFormat="false" ht="42" hidden="false" customHeight="true" outlineLevel="0" collapsed="false">
      <c r="A26" s="4" t="s">
        <v>635</v>
      </c>
      <c r="B26" s="4" t="s">
        <v>680</v>
      </c>
      <c r="C26" s="4" t="s">
        <v>681</v>
      </c>
      <c r="D26" s="4" t="s">
        <v>682</v>
      </c>
      <c r="E26" s="4" t="s">
        <v>683</v>
      </c>
      <c r="F26" s="4" t="s">
        <v>684</v>
      </c>
      <c r="G26" s="4" t="s">
        <v>685</v>
      </c>
      <c r="H26" s="4" t="s">
        <v>686</v>
      </c>
      <c r="I26" s="4" t="s">
        <v>687</v>
      </c>
      <c r="J26" s="4" t="s">
        <v>688</v>
      </c>
      <c r="K26" s="4"/>
      <c r="L26" s="4"/>
      <c r="M26" s="4"/>
      <c r="N26" s="4"/>
      <c r="O26" s="4"/>
    </row>
    <row r="27" customFormat="false" ht="15" hidden="false" customHeight="true" outlineLevel="0" collapsed="false">
      <c r="A27" s="28" t="s">
        <v>675</v>
      </c>
      <c r="B27" s="28" t="s">
        <v>689</v>
      </c>
      <c r="C27" s="28" t="s">
        <v>690</v>
      </c>
      <c r="D27" s="28" t="s">
        <v>691</v>
      </c>
      <c r="E27" s="26" t="n">
        <v>3000000</v>
      </c>
      <c r="F27" s="26" t="n">
        <v>900000</v>
      </c>
      <c r="G27" s="26" t="n">
        <v>0</v>
      </c>
      <c r="H27" s="45" t="n">
        <f aca="false">IF(OR(E27="",N(E27)=0),"",(N(F27)+N(G27))/E27)</f>
        <v>0.3</v>
      </c>
      <c r="I27" s="29" t="n">
        <v>46203</v>
      </c>
      <c r="J27" s="28" t="s">
        <v>692</v>
      </c>
    </row>
    <row r="28" customFormat="false" ht="15" hidden="false" customHeight="true" outlineLevel="0" collapsed="false">
      <c r="A28" s="28" t="s">
        <v>676</v>
      </c>
      <c r="B28" s="28" t="s">
        <v>693</v>
      </c>
      <c r="C28" s="28" t="s">
        <v>694</v>
      </c>
      <c r="D28" s="28" t="s">
        <v>691</v>
      </c>
      <c r="E28" s="26" t="n">
        <v>10000000</v>
      </c>
      <c r="F28" s="26" t="n">
        <v>900000</v>
      </c>
      <c r="G28" s="26" t="n">
        <v>0</v>
      </c>
      <c r="H28" s="45" t="n">
        <f aca="false">IF(OR(E28="",N(E28)=0),"",(N(F28)+N(G28))/E28)</f>
        <v>0.09</v>
      </c>
      <c r="I28" s="29" t="n">
        <v>46295</v>
      </c>
      <c r="J28" s="28" t="s">
        <v>692</v>
      </c>
    </row>
    <row r="29" customFormat="false" ht="15" hidden="false" customHeight="true" outlineLevel="0" collapsed="false">
      <c r="A29" s="28"/>
      <c r="B29" s="28"/>
      <c r="C29" s="28"/>
      <c r="D29" s="28"/>
      <c r="E29" s="26"/>
      <c r="F29" s="26"/>
      <c r="G29" s="26"/>
      <c r="H29" s="45" t="str">
        <f aca="false">IF(OR(E29="",N(E29)=0),"",(N(F29)+N(G29))/E29)</f>
        <v/>
      </c>
      <c r="I29" s="29"/>
      <c r="J29" s="28"/>
    </row>
    <row r="30" customFormat="false" ht="15" hidden="false" customHeight="true" outlineLevel="0" collapsed="false">
      <c r="A30" s="28"/>
      <c r="B30" s="28"/>
      <c r="C30" s="28"/>
      <c r="D30" s="28"/>
      <c r="E30" s="26"/>
      <c r="F30" s="26"/>
      <c r="G30" s="26"/>
      <c r="H30" s="45" t="str">
        <f aca="false">IF(OR(E30="",N(E30)=0),"",(N(F30)+N(G30))/E30)</f>
        <v/>
      </c>
      <c r="I30" s="29"/>
      <c r="J30" s="28"/>
    </row>
    <row r="31" customFormat="false" ht="15" hidden="false" customHeight="true" outlineLevel="0" collapsed="false">
      <c r="A31" s="28"/>
      <c r="B31" s="28"/>
      <c r="C31" s="28"/>
      <c r="D31" s="28"/>
      <c r="E31" s="26"/>
      <c r="F31" s="26"/>
      <c r="G31" s="26"/>
      <c r="H31" s="45" t="str">
        <f aca="false">IF(OR(E31="",N(E31)=0),"",(N(F31)+N(G31))/E31)</f>
        <v/>
      </c>
      <c r="I31" s="29"/>
      <c r="J31" s="28"/>
    </row>
    <row r="32" customFormat="false" ht="15" hidden="false" customHeight="true" outlineLevel="0" collapsed="false">
      <c r="A32" s="28"/>
      <c r="B32" s="28"/>
      <c r="C32" s="28"/>
      <c r="D32" s="28"/>
      <c r="E32" s="26"/>
      <c r="F32" s="26"/>
      <c r="G32" s="26"/>
      <c r="H32" s="45" t="str">
        <f aca="false">IF(OR(E32="",N(E32)=0),"",(N(F32)+N(G32))/E32)</f>
        <v/>
      </c>
      <c r="I32" s="29"/>
      <c r="J32" s="28"/>
    </row>
  </sheetData>
  <mergeCells count="1">
    <mergeCell ref="A24:O24"/>
  </mergeCells>
  <dataValidations count="2">
    <dataValidation allowBlank="true" errorStyle="stop" operator="between" showDropDown="false" showErrorMessage="false" showInputMessage="false" sqref="C7:C12" type="list">
      <formula1>"E,H"</formula1>
      <formula2>0</formula2>
    </dataValidation>
    <dataValidation allowBlank="true" errorStyle="stop" operator="between" showDropDown="false" showErrorMessage="false" showInputMessage="false" sqref="F7:F12"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2" min="2" style="1" width="30"/>
    <col collapsed="false" customWidth="true" hidden="false" outlineLevel="0" max="4" min="3" style="1" width="26"/>
    <col collapsed="false" customWidth="true" hidden="false" outlineLevel="0" max="5" min="5" style="1" width="16"/>
    <col collapsed="false" customWidth="true" hidden="false" outlineLevel="0" max="6" min="6" style="1" width="14"/>
    <col collapsed="false" customWidth="true" hidden="false" outlineLevel="0" max="7" min="7" style="1" width="13"/>
    <col collapsed="false" customWidth="true" hidden="false" outlineLevel="0" max="8" min="8" style="1" width="16"/>
  </cols>
  <sheetData>
    <row r="1" customFormat="false" ht="17.25" hidden="false" customHeight="true" outlineLevel="0" collapsed="false">
      <c r="A1" s="18" t="s">
        <v>695</v>
      </c>
    </row>
    <row r="2" customFormat="false" ht="15" hidden="false" customHeight="true" outlineLevel="0" collapsed="false">
      <c r="A2" s="19" t="s">
        <v>696</v>
      </c>
    </row>
    <row r="3" customFormat="false" ht="15" hidden="false" customHeight="true" outlineLevel="0" collapsed="false">
      <c r="A3" s="20" t="s">
        <v>73</v>
      </c>
    </row>
    <row r="5" customFormat="false" ht="15" hidden="false" customHeight="true" outlineLevel="0" collapsed="false">
      <c r="A5" s="8" t="s">
        <v>697</v>
      </c>
      <c r="B5" s="9"/>
      <c r="C5" s="9"/>
      <c r="D5" s="9"/>
      <c r="E5" s="9"/>
      <c r="F5" s="9"/>
      <c r="G5" s="9"/>
      <c r="H5" s="9"/>
    </row>
    <row r="6" customFormat="false" ht="42" hidden="false" customHeight="true" outlineLevel="0" collapsed="false">
      <c r="A6" s="4" t="s">
        <v>572</v>
      </c>
      <c r="B6" s="4" t="s">
        <v>698</v>
      </c>
      <c r="C6" s="4" t="s">
        <v>699</v>
      </c>
      <c r="D6" s="4" t="s">
        <v>700</v>
      </c>
      <c r="E6" s="4" t="s">
        <v>331</v>
      </c>
      <c r="F6" s="4" t="s">
        <v>701</v>
      </c>
      <c r="G6" s="4" t="s">
        <v>702</v>
      </c>
      <c r="H6" s="4" t="s">
        <v>703</v>
      </c>
    </row>
    <row r="7" customFormat="false" ht="15" hidden="false" customHeight="true" outlineLevel="0" collapsed="false">
      <c r="A7" s="22" t="n">
        <v>1</v>
      </c>
      <c r="B7" s="28" t="s">
        <v>704</v>
      </c>
      <c r="C7" s="28" t="s">
        <v>705</v>
      </c>
      <c r="D7" s="28" t="s">
        <v>706</v>
      </c>
      <c r="E7" s="26" t="n">
        <v>1200000</v>
      </c>
      <c r="F7" s="28" t="s">
        <v>707</v>
      </c>
      <c r="G7" s="28" t="s">
        <v>251</v>
      </c>
      <c r="H7" s="33" t="n">
        <f aca="false">IF(E7="","",IF(G7&lt;&gt;"E",0,IF(D7="Profesyonel spor sponsorluğu",E7*Parametreler!$D$39,IF(D7="%5 sınırlı bağış",0,E7))))</f>
        <v>0</v>
      </c>
    </row>
    <row r="8" customFormat="false" ht="15" hidden="false" customHeight="true" outlineLevel="0" collapsed="false">
      <c r="A8" s="22" t="n">
        <v>2</v>
      </c>
      <c r="B8" s="28" t="s">
        <v>708</v>
      </c>
      <c r="C8" s="28" t="s">
        <v>709</v>
      </c>
      <c r="D8" s="28" t="s">
        <v>710</v>
      </c>
      <c r="E8" s="26" t="n">
        <v>100000</v>
      </c>
      <c r="F8" s="28" t="s">
        <v>711</v>
      </c>
      <c r="G8" s="28" t="s">
        <v>251</v>
      </c>
      <c r="H8" s="33" t="n">
        <f aca="false">IF(E8="","",IF(G8&lt;&gt;"E",0,IF(D8="Profesyonel spor sponsorluğu",E8*Parametreler!$D$39,IF(D8="%5 sınırlı bağış",0,E8))))</f>
        <v>100000</v>
      </c>
    </row>
    <row r="9" customFormat="false" ht="15" hidden="false" customHeight="true" outlineLevel="0" collapsed="false">
      <c r="A9" s="22" t="n">
        <v>3</v>
      </c>
      <c r="B9" s="28" t="s">
        <v>712</v>
      </c>
      <c r="C9" s="28" t="s">
        <v>713</v>
      </c>
      <c r="D9" s="28" t="s">
        <v>714</v>
      </c>
      <c r="E9" s="26" t="n">
        <v>200000</v>
      </c>
      <c r="F9" s="28" t="s">
        <v>715</v>
      </c>
      <c r="G9" s="28" t="s">
        <v>251</v>
      </c>
      <c r="H9" s="33" t="n">
        <f aca="false">IF(E9="","",IF(G9&lt;&gt;"E",0,IF(D9="Profesyonel spor sponsorluğu",E9*Parametreler!$D$39,IF(D9="%5 sınırlı bağış",0,E9))))</f>
        <v>200000</v>
      </c>
    </row>
    <row r="10" customFormat="false" ht="15" hidden="false" customHeight="true" outlineLevel="0" collapsed="false">
      <c r="A10" s="22" t="n">
        <v>4</v>
      </c>
      <c r="B10" s="28" t="s">
        <v>716</v>
      </c>
      <c r="C10" s="28" t="s">
        <v>717</v>
      </c>
      <c r="D10" s="28" t="s">
        <v>718</v>
      </c>
      <c r="E10" s="26" t="n">
        <v>100000</v>
      </c>
      <c r="F10" s="28" t="s">
        <v>719</v>
      </c>
      <c r="G10" s="28" t="s">
        <v>251</v>
      </c>
      <c r="H10" s="33" t="n">
        <f aca="false">IF(E10="","",IF(G10&lt;&gt;"E",0,IF(D10="Profesyonel spor sponsorluğu",E10*Parametreler!$D$39,IF(D10="%5 sınırlı bağış",0,E10))))</f>
        <v>50000</v>
      </c>
    </row>
    <row r="11" customFormat="false" ht="15" hidden="false" customHeight="true" outlineLevel="0" collapsed="false">
      <c r="A11" s="22" t="n">
        <v>5</v>
      </c>
      <c r="B11" s="28"/>
      <c r="C11" s="28"/>
      <c r="D11" s="28"/>
      <c r="E11" s="26"/>
      <c r="F11" s="28"/>
      <c r="G11" s="28"/>
      <c r="H11" s="33" t="str">
        <f aca="false">IF(E11="","",IF(G11&lt;&gt;"E",0,IF(D11="Profesyonel spor sponsorluğu",E11*Parametreler!$D$39,IF(D11="%5 sınırlı bağış",0,E11))))</f>
        <v/>
      </c>
    </row>
    <row r="12" customFormat="false" ht="15" hidden="false" customHeight="true" outlineLevel="0" collapsed="false">
      <c r="A12" s="22" t="n">
        <v>6</v>
      </c>
      <c r="B12" s="28"/>
      <c r="C12" s="28"/>
      <c r="D12" s="28"/>
      <c r="E12" s="26"/>
      <c r="F12" s="28"/>
      <c r="G12" s="28"/>
      <c r="H12" s="33" t="str">
        <f aca="false">IF(E12="","",IF(G12&lt;&gt;"E",0,IF(D12="Profesyonel spor sponsorluğu",E12*Parametreler!$D$39,IF(D12="%5 sınırlı bağış",0,E12))))</f>
        <v/>
      </c>
    </row>
    <row r="13" customFormat="false" ht="15" hidden="false" customHeight="true" outlineLevel="0" collapsed="false">
      <c r="A13" s="22" t="n">
        <v>7</v>
      </c>
      <c r="B13" s="28"/>
      <c r="C13" s="28"/>
      <c r="D13" s="28"/>
      <c r="E13" s="26"/>
      <c r="F13" s="28"/>
      <c r="G13" s="28"/>
      <c r="H13" s="33" t="str">
        <f aca="false">IF(E13="","",IF(G13&lt;&gt;"E",0,IF(D13="Profesyonel spor sponsorluğu",E13*Parametreler!$D$39,IF(D13="%5 sınırlı bağış",0,E13))))</f>
        <v/>
      </c>
    </row>
    <row r="14" customFormat="false" ht="15" hidden="false" customHeight="true" outlineLevel="0" collapsed="false">
      <c r="A14" s="22" t="n">
        <v>8</v>
      </c>
      <c r="B14" s="28"/>
      <c r="C14" s="28"/>
      <c r="D14" s="28"/>
      <c r="E14" s="26"/>
      <c r="F14" s="28"/>
      <c r="G14" s="28"/>
      <c r="H14" s="33" t="str">
        <f aca="false">IF(E14="","",IF(G14&lt;&gt;"E",0,IF(D14="Profesyonel spor sponsorluğu",E14*Parametreler!$D$39,IF(D14="%5 sınırlı bağış",0,E14))))</f>
        <v/>
      </c>
    </row>
    <row r="15" customFormat="false" ht="15" hidden="false" customHeight="true" outlineLevel="0" collapsed="false">
      <c r="A15" s="22" t="n">
        <v>9</v>
      </c>
      <c r="B15" s="28"/>
      <c r="C15" s="28"/>
      <c r="D15" s="28"/>
      <c r="E15" s="26"/>
      <c r="F15" s="28"/>
      <c r="G15" s="28"/>
      <c r="H15" s="33" t="str">
        <f aca="false">IF(E15="","",IF(G15&lt;&gt;"E",0,IF(D15="Profesyonel spor sponsorluğu",E15*Parametreler!$D$39,IF(D15="%5 sınırlı bağış",0,E15))))</f>
        <v/>
      </c>
    </row>
    <row r="16" customFormat="false" ht="15" hidden="false" customHeight="true" outlineLevel="0" collapsed="false">
      <c r="A16" s="22" t="n">
        <v>10</v>
      </c>
      <c r="B16" s="28"/>
      <c r="C16" s="28"/>
      <c r="D16" s="28"/>
      <c r="E16" s="26"/>
      <c r="F16" s="28"/>
      <c r="G16" s="28"/>
      <c r="H16" s="33" t="str">
        <f aca="false">IF(E16="","",IF(G16&lt;&gt;"E",0,IF(D16="Profesyonel spor sponsorluğu",E16*Parametreler!$D$39,IF(D16="%5 sınırlı bağış",0,E16))))</f>
        <v/>
      </c>
    </row>
    <row r="17" customFormat="false" ht="15" hidden="false" customHeight="true" outlineLevel="0" collapsed="false">
      <c r="A17" s="22" t="n">
        <v>11</v>
      </c>
      <c r="B17" s="28"/>
      <c r="C17" s="28"/>
      <c r="D17" s="28"/>
      <c r="E17" s="26"/>
      <c r="F17" s="28"/>
      <c r="G17" s="28"/>
      <c r="H17" s="33" t="str">
        <f aca="false">IF(E17="","",IF(G17&lt;&gt;"E",0,IF(D17="Profesyonel spor sponsorluğu",E17*Parametreler!$D$39,IF(D17="%5 sınırlı bağış",0,E17))))</f>
        <v/>
      </c>
    </row>
    <row r="18" customFormat="false" ht="15" hidden="false" customHeight="true" outlineLevel="0" collapsed="false">
      <c r="A18" s="22" t="n">
        <v>12</v>
      </c>
      <c r="B18" s="28"/>
      <c r="C18" s="28"/>
      <c r="D18" s="28"/>
      <c r="E18" s="26"/>
      <c r="F18" s="28"/>
      <c r="G18" s="28"/>
      <c r="H18" s="33" t="str">
        <f aca="false">IF(E18="","",IF(G18&lt;&gt;"E",0,IF(D18="Profesyonel spor sponsorluğu",E18*Parametreler!$D$39,IF(D18="%5 sınırlı bağış",0,E18))))</f>
        <v/>
      </c>
    </row>
    <row r="19" customFormat="false" ht="15" hidden="false" customHeight="true" outlineLevel="0" collapsed="false">
      <c r="D19" s="31" t="s">
        <v>720</v>
      </c>
      <c r="E19" s="27" t="n">
        <f aca="false">SUM(E7:E18)</f>
        <v>1600000</v>
      </c>
    </row>
    <row r="21" customFormat="false" ht="15" hidden="false" customHeight="true" outlineLevel="0" collapsed="false">
      <c r="A21" s="8" t="s">
        <v>721</v>
      </c>
      <c r="B21" s="9"/>
      <c r="C21" s="9"/>
      <c r="D21" s="9"/>
      <c r="E21" s="9"/>
      <c r="F21" s="9"/>
      <c r="G21" s="9"/>
      <c r="H21" s="9"/>
    </row>
    <row r="22" customFormat="false" ht="15" hidden="false" customHeight="true" outlineLevel="0" collapsed="false">
      <c r="A22" s="5" t="s">
        <v>722</v>
      </c>
      <c r="B22" s="5"/>
      <c r="C22" s="5"/>
      <c r="D22" s="27" t="n">
        <f aca="false">SUMIF(D7:D18,"Amatör spor sponsorluğu",H7:H18)+SUMIF(D7:D18,"Profesyonel spor sponsorluğu",H7:H18)</f>
        <v>250000</v>
      </c>
    </row>
    <row r="23" customFormat="false" ht="15" hidden="false" customHeight="true" outlineLevel="0" collapsed="false">
      <c r="A23" s="5" t="s">
        <v>723</v>
      </c>
      <c r="B23" s="5"/>
      <c r="C23" s="5"/>
      <c r="D23" s="27" t="n">
        <f aca="false">'Ek-14'!F18</f>
        <v>20548040</v>
      </c>
    </row>
    <row r="24" customFormat="false" ht="15" hidden="false" customHeight="true" outlineLevel="0" collapsed="false">
      <c r="A24" s="5" t="s">
        <v>724</v>
      </c>
      <c r="B24" s="5"/>
      <c r="C24" s="5"/>
      <c r="D24" s="34" t="n">
        <f aca="false">Parametreler!D38</f>
        <v>0.05</v>
      </c>
    </row>
    <row r="25" customFormat="false" ht="15" hidden="false" customHeight="true" outlineLevel="0" collapsed="false">
      <c r="A25" s="5" t="s">
        <v>725</v>
      </c>
      <c r="B25" s="5"/>
      <c r="C25" s="5"/>
      <c r="D25" s="27" t="n">
        <f aca="false">SUMIFS(E7:E18,D7:D18,"%5 sınırlı bağış",G7:G18,"E")</f>
        <v>1200000</v>
      </c>
    </row>
    <row r="26" customFormat="false" ht="15" hidden="false" customHeight="true" outlineLevel="0" collapsed="false">
      <c r="A26" s="5" t="s">
        <v>726</v>
      </c>
      <c r="B26" s="5"/>
      <c r="C26" s="5"/>
      <c r="D26" s="27" t="n">
        <f aca="false">MIN(D25,MAX(0,D23)*D24)</f>
        <v>1027402</v>
      </c>
    </row>
    <row r="27" customFormat="false" ht="15" hidden="false" customHeight="true" outlineLevel="0" collapsed="false">
      <c r="A27" s="5" t="s">
        <v>727</v>
      </c>
      <c r="B27" s="5"/>
      <c r="C27" s="5"/>
      <c r="D27" s="27" t="n">
        <f aca="false">SUMIF(D7:D18,"Tamamı indirilecek bağış",H7:H18)</f>
        <v>100000</v>
      </c>
    </row>
    <row r="28" customFormat="false" ht="15" hidden="false" customHeight="true" outlineLevel="0" collapsed="false">
      <c r="A28" s="5" t="s">
        <v>728</v>
      </c>
      <c r="B28" s="5"/>
      <c r="C28" s="5"/>
      <c r="D28" s="27" t="n">
        <f aca="false">D26+D27</f>
        <v>1127402</v>
      </c>
    </row>
    <row r="29" customFormat="false" ht="15" hidden="false" customHeight="true" outlineLevel="0" collapsed="false">
      <c r="A29" s="5" t="s">
        <v>729</v>
      </c>
      <c r="B29" s="5"/>
      <c r="C29" s="5"/>
      <c r="D29" s="27" t="n">
        <f aca="false">SUMIF(D7:D18,"Amatör spor sponsorluğu",E7:E18)+SUMIF(D7:D18,"Profesyonel spor sponsorluğu",E7:E18)</f>
        <v>300000</v>
      </c>
    </row>
    <row r="30" customFormat="false" ht="15" hidden="false" customHeight="true" outlineLevel="0" collapsed="false">
      <c r="A30" s="5" t="s">
        <v>730</v>
      </c>
      <c r="B30" s="5"/>
      <c r="C30" s="5"/>
      <c r="D30" s="27" t="n">
        <f aca="false">SUMIF(D7:D18,"%5 sınırlı bağış",E7:E18)+SUMIF(D7:D18,"Tamamı indirilecek bağış",E7:E18)</f>
        <v>1300000</v>
      </c>
    </row>
    <row r="31" customFormat="false" ht="15" hidden="false" customHeight="true" outlineLevel="0" collapsed="false">
      <c r="A31" s="5" t="s">
        <v>731</v>
      </c>
      <c r="B31" s="5"/>
      <c r="C31" s="5"/>
      <c r="D31" s="27" t="n">
        <f aca="false">D25-D26</f>
        <v>172598</v>
      </c>
    </row>
    <row r="32" customFormat="false" ht="55.5" hidden="false" customHeight="true" outlineLevel="0" collapsed="false">
      <c r="A32" s="17" t="s">
        <v>732</v>
      </c>
      <c r="B32" s="17"/>
      <c r="C32" s="17"/>
      <c r="D32" s="17"/>
      <c r="E32" s="17"/>
      <c r="F32" s="17"/>
      <c r="G32" s="17"/>
      <c r="H32" s="17"/>
    </row>
  </sheetData>
  <mergeCells count="11">
    <mergeCell ref="A22:C22"/>
    <mergeCell ref="A23:C23"/>
    <mergeCell ref="A24:C24"/>
    <mergeCell ref="A25:C25"/>
    <mergeCell ref="A26:C26"/>
    <mergeCell ref="A27:C27"/>
    <mergeCell ref="A28:C28"/>
    <mergeCell ref="A29:C29"/>
    <mergeCell ref="A30:C30"/>
    <mergeCell ref="A31:C31"/>
    <mergeCell ref="A32:H32"/>
  </mergeCells>
  <dataValidations count="2">
    <dataValidation allowBlank="true" errorStyle="stop" operator="between" showDropDown="false" showErrorMessage="false" showInputMessage="false" sqref="D7:D18" type="list">
      <formula1>"%5 sınırlı bağış,Tamamı indirilecek bağış,Amatör spor sponsorluğu,Profesyonel spor sponsorluğu"</formula1>
      <formula2>0</formula2>
    </dataValidation>
    <dataValidation allowBlank="true" errorStyle="stop" operator="between" showDropDown="false" showErrorMessage="false" showInputMessage="false" sqref="G7:G18"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4"/>
    <col collapsed="false" customWidth="true" hidden="false" outlineLevel="0" max="3" min="2" style="1" width="4"/>
    <col collapsed="false" customWidth="true" hidden="false" outlineLevel="0" max="4" min="4" style="1" width="20"/>
    <col collapsed="false" customWidth="true" hidden="false" outlineLevel="0" max="5" min="5" style="1" width="24"/>
  </cols>
  <sheetData>
    <row r="1" customFormat="false" ht="17.25" hidden="false" customHeight="true" outlineLevel="0" collapsed="false">
      <c r="A1" s="18" t="s">
        <v>733</v>
      </c>
    </row>
    <row r="2" customFormat="false" ht="15" hidden="false" customHeight="true" outlineLevel="0" collapsed="false">
      <c r="A2" s="19" t="s">
        <v>734</v>
      </c>
    </row>
    <row r="3" customFormat="false" ht="15" hidden="false" customHeight="true" outlineLevel="0" collapsed="false">
      <c r="A3" s="20" t="s">
        <v>73</v>
      </c>
    </row>
    <row r="5" customFormat="false" ht="15" hidden="false" customHeight="true" outlineLevel="0" collapsed="false">
      <c r="A5" s="8" t="s">
        <v>735</v>
      </c>
      <c r="B5" s="9"/>
      <c r="C5" s="9"/>
      <c r="D5" s="9"/>
      <c r="E5" s="9"/>
    </row>
    <row r="6" customFormat="false" ht="15" hidden="false" customHeight="true" outlineLevel="0" collapsed="false">
      <c r="A6" s="5" t="s">
        <v>385</v>
      </c>
      <c r="B6" s="5"/>
      <c r="C6" s="5"/>
      <c r="D6" s="27" t="n">
        <f aca="false">'Ek-3'!B27</f>
        <v>33750000</v>
      </c>
      <c r="E6" s="24" t="s">
        <v>15</v>
      </c>
    </row>
    <row r="7" customFormat="false" ht="15" hidden="false" customHeight="true" outlineLevel="0" collapsed="false">
      <c r="A7" s="5" t="s">
        <v>736</v>
      </c>
      <c r="B7" s="5"/>
      <c r="C7" s="5"/>
      <c r="D7" s="27" t="n">
        <f aca="false">'Ek-2'!E43</f>
        <v>2100000</v>
      </c>
      <c r="E7" s="24" t="s">
        <v>737</v>
      </c>
    </row>
    <row r="8" customFormat="false" ht="15" hidden="false" customHeight="true" outlineLevel="0" collapsed="false">
      <c r="A8" s="5" t="s">
        <v>738</v>
      </c>
      <c r="B8" s="5"/>
      <c r="C8" s="5"/>
      <c r="D8" s="27" t="n">
        <f aca="false">D6+D7</f>
        <v>35850000</v>
      </c>
    </row>
    <row r="9" customFormat="false" ht="15" hidden="false" customHeight="true" outlineLevel="0" collapsed="false">
      <c r="A9" s="31" t="s">
        <v>739</v>
      </c>
      <c r="B9" s="31"/>
      <c r="C9" s="31"/>
      <c r="D9" s="31"/>
      <c r="E9" s="31"/>
    </row>
    <row r="10" customFormat="false" ht="15" hidden="false" customHeight="true" outlineLevel="0" collapsed="false">
      <c r="A10" s="6" t="s">
        <v>740</v>
      </c>
      <c r="B10" s="6"/>
      <c r="C10" s="6"/>
      <c r="D10" s="33" t="n">
        <f aca="false">'Ek-14'!E10</f>
        <v>1000000</v>
      </c>
      <c r="E10" s="24" t="s">
        <v>378</v>
      </c>
    </row>
    <row r="11" customFormat="false" ht="15" hidden="false" customHeight="true" outlineLevel="0" collapsed="false">
      <c r="A11" s="6" t="s">
        <v>741</v>
      </c>
      <c r="B11" s="6"/>
      <c r="C11" s="6"/>
      <c r="D11" s="26" t="n">
        <v>0</v>
      </c>
    </row>
    <row r="12" customFormat="false" ht="15" hidden="false" customHeight="true" outlineLevel="0" collapsed="false">
      <c r="A12" s="6" t="s">
        <v>742</v>
      </c>
      <c r="B12" s="6"/>
      <c r="C12" s="6"/>
      <c r="D12" s="26" t="n">
        <v>0</v>
      </c>
    </row>
    <row r="13" customFormat="false" ht="15" hidden="false" customHeight="true" outlineLevel="0" collapsed="false">
      <c r="A13" s="6" t="s">
        <v>743</v>
      </c>
      <c r="B13" s="6"/>
      <c r="C13" s="6"/>
      <c r="D13" s="26" t="n">
        <v>0</v>
      </c>
    </row>
    <row r="14" customFormat="false" ht="15" hidden="false" customHeight="true" outlineLevel="0" collapsed="false">
      <c r="A14" s="6" t="s">
        <v>744</v>
      </c>
      <c r="B14" s="6"/>
      <c r="C14" s="6"/>
      <c r="D14" s="26" t="n">
        <v>0</v>
      </c>
    </row>
    <row r="15" customFormat="false" ht="15" hidden="false" customHeight="true" outlineLevel="0" collapsed="false">
      <c r="A15" s="6" t="s">
        <v>745</v>
      </c>
      <c r="B15" s="6"/>
      <c r="C15" s="6"/>
      <c r="D15" s="26" t="n">
        <v>0</v>
      </c>
    </row>
    <row r="16" customFormat="false" ht="15" hidden="false" customHeight="true" outlineLevel="0" collapsed="false">
      <c r="A16" s="6" t="s">
        <v>302</v>
      </c>
      <c r="B16" s="6"/>
      <c r="C16" s="6"/>
      <c r="D16" s="33" t="n">
        <f aca="false">'Ek-14'!E13</f>
        <v>2500000</v>
      </c>
      <c r="E16" s="24" t="s">
        <v>27</v>
      </c>
    </row>
    <row r="17" customFormat="false" ht="15" hidden="false" customHeight="true" outlineLevel="0" collapsed="false">
      <c r="A17" s="6" t="s">
        <v>304</v>
      </c>
      <c r="B17" s="6"/>
      <c r="C17" s="6"/>
      <c r="D17" s="33" t="n">
        <f aca="false">'Ek-14'!E17</f>
        <v>5501960</v>
      </c>
      <c r="E17" s="24" t="s">
        <v>24</v>
      </c>
    </row>
    <row r="18" customFormat="false" ht="15" hidden="false" customHeight="true" outlineLevel="0" collapsed="false">
      <c r="A18" s="6" t="s">
        <v>746</v>
      </c>
      <c r="B18" s="6"/>
      <c r="C18" s="6"/>
      <c r="D18" s="26" t="n">
        <v>0</v>
      </c>
    </row>
    <row r="19" customFormat="false" ht="15" hidden="false" customHeight="true" outlineLevel="0" collapsed="false">
      <c r="A19" s="6" t="s">
        <v>747</v>
      </c>
      <c r="B19" s="6"/>
      <c r="C19" s="6"/>
      <c r="D19" s="26" t="n">
        <v>0</v>
      </c>
    </row>
    <row r="20" customFormat="false" ht="23.25" hidden="false" customHeight="true" outlineLevel="0" collapsed="false">
      <c r="A20" s="6" t="s">
        <v>748</v>
      </c>
      <c r="B20" s="6"/>
      <c r="C20" s="6"/>
      <c r="D20" s="33" t="n">
        <f aca="false">'Ek-14'!E15</f>
        <v>0</v>
      </c>
      <c r="E20" s="24" t="s">
        <v>749</v>
      </c>
    </row>
    <row r="21" customFormat="false" ht="15" hidden="false" customHeight="true" outlineLevel="0" collapsed="false">
      <c r="A21" s="5" t="s">
        <v>750</v>
      </c>
      <c r="B21" s="5"/>
      <c r="C21" s="5"/>
      <c r="D21" s="27" t="n">
        <f aca="false">SUM(D10:D20)</f>
        <v>9001960</v>
      </c>
    </row>
    <row r="22" customFormat="false" ht="15" hidden="false" customHeight="true" outlineLevel="0" collapsed="false">
      <c r="A22" s="5" t="s">
        <v>751</v>
      </c>
      <c r="B22" s="5"/>
      <c r="C22" s="5"/>
      <c r="D22" s="27" t="n">
        <f aca="false">MAX(0,D8-D21)</f>
        <v>26848040</v>
      </c>
    </row>
    <row r="23" customFormat="false" ht="15" hidden="false" customHeight="true" outlineLevel="0" collapsed="false">
      <c r="A23" s="5" t="s">
        <v>752</v>
      </c>
      <c r="B23" s="5"/>
      <c r="C23" s="5"/>
      <c r="D23" s="34" t="n">
        <f aca="false">Parametreler!D9</f>
        <v>0.1</v>
      </c>
    </row>
    <row r="24" customFormat="false" ht="15" hidden="false" customHeight="true" outlineLevel="0" collapsed="false">
      <c r="A24" s="5" t="s">
        <v>753</v>
      </c>
      <c r="B24" s="5"/>
      <c r="C24" s="5"/>
      <c r="D24" s="27" t="n">
        <f aca="false">D22*D23</f>
        <v>2684804</v>
      </c>
    </row>
    <row r="26" customFormat="false" ht="15" hidden="false" customHeight="true" outlineLevel="0" collapsed="false">
      <c r="A26" s="8" t="s">
        <v>754</v>
      </c>
      <c r="B26" s="9"/>
      <c r="C26" s="9"/>
      <c r="D26" s="9"/>
      <c r="E26" s="9"/>
    </row>
    <row r="27" customFormat="false" ht="15" hidden="false" customHeight="true" outlineLevel="0" collapsed="false">
      <c r="A27" s="6" t="s">
        <v>755</v>
      </c>
      <c r="B27" s="6"/>
      <c r="C27" s="6"/>
      <c r="D27" s="33" t="n">
        <f aca="false">'Ek-14'!E11</f>
        <v>2100000</v>
      </c>
    </row>
    <row r="28" customFormat="false" ht="15" hidden="false" customHeight="true" outlineLevel="0" collapsed="false">
      <c r="A28" s="6" t="s">
        <v>756</v>
      </c>
      <c r="B28" s="6"/>
      <c r="C28" s="6"/>
      <c r="D28" s="33" t="n">
        <f aca="false">'Ek-14'!E12</f>
        <v>3950000</v>
      </c>
    </row>
    <row r="29" customFormat="false" ht="15" hidden="false" customHeight="true" outlineLevel="0" collapsed="false">
      <c r="A29" s="6" t="s">
        <v>757</v>
      </c>
      <c r="B29" s="6"/>
      <c r="C29" s="6"/>
      <c r="D29" s="33" t="n">
        <f aca="false">'Ek-14'!E20</f>
        <v>5600000</v>
      </c>
    </row>
    <row r="30" customFormat="false" ht="15" hidden="false" customHeight="true" outlineLevel="0" collapsed="false">
      <c r="A30" s="6" t="s">
        <v>758</v>
      </c>
      <c r="B30" s="6"/>
      <c r="C30" s="6"/>
      <c r="D30" s="33" t="n">
        <f aca="false">'Ek-14'!E21</f>
        <v>755666.666666667</v>
      </c>
    </row>
    <row r="31" customFormat="false" ht="15" hidden="false" customHeight="true" outlineLevel="0" collapsed="false">
      <c r="A31" s="6" t="s">
        <v>759</v>
      </c>
      <c r="B31" s="6"/>
      <c r="C31" s="6"/>
      <c r="D31" s="33" t="n">
        <f aca="false">'Ek-14'!E18+'Ek-14'!E19</f>
        <v>1377402</v>
      </c>
    </row>
    <row r="33" customFormat="false" ht="15" hidden="false" customHeight="true" outlineLevel="0" collapsed="false">
      <c r="A33" s="8" t="s">
        <v>760</v>
      </c>
      <c r="B33" s="9"/>
      <c r="C33" s="9"/>
      <c r="D33" s="9"/>
      <c r="E33" s="9"/>
    </row>
    <row r="34" customFormat="false" ht="15" hidden="false" customHeight="true" outlineLevel="0" collapsed="false">
      <c r="A34" s="5" t="s">
        <v>753</v>
      </c>
      <c r="B34" s="5"/>
      <c r="C34" s="5"/>
      <c r="D34" s="27" t="n">
        <f aca="false">D24</f>
        <v>2684804</v>
      </c>
    </row>
    <row r="35" customFormat="false" ht="15" hidden="false" customHeight="true" outlineLevel="0" collapsed="false">
      <c r="A35" s="5" t="s">
        <v>761</v>
      </c>
      <c r="B35" s="5"/>
      <c r="C35" s="5"/>
      <c r="D35" s="27" t="n">
        <f aca="false">'Ek-5'!D22</f>
        <v>141488.800661728</v>
      </c>
      <c r="E35" s="24" t="s">
        <v>21</v>
      </c>
    </row>
    <row r="36" customFormat="false" ht="15" hidden="false" customHeight="true" outlineLevel="0" collapsed="false">
      <c r="A36" s="5" t="s">
        <v>762</v>
      </c>
      <c r="B36" s="5"/>
      <c r="C36" s="5"/>
      <c r="D36" s="27" t="n">
        <f aca="false">'Ek-8'!J35</f>
        <v>0</v>
      </c>
      <c r="E36" s="24" t="s">
        <v>30</v>
      </c>
    </row>
    <row r="37" customFormat="false" ht="15" hidden="false" customHeight="true" outlineLevel="0" collapsed="false">
      <c r="A37" s="5" t="s">
        <v>763</v>
      </c>
      <c r="B37" s="5"/>
      <c r="C37" s="5"/>
      <c r="D37" s="27" t="n">
        <f aca="false">MAX(0,D34-D35-D36)</f>
        <v>2543315.19933827</v>
      </c>
    </row>
    <row r="38" customFormat="false" ht="15" hidden="false" customHeight="true" outlineLevel="0" collapsed="false">
      <c r="A38" s="5" t="s">
        <v>764</v>
      </c>
      <c r="B38" s="5"/>
      <c r="C38" s="5"/>
      <c r="D38" s="27" t="n">
        <f aca="false">'Ek-14'!D29</f>
        <v>1824063.5532642</v>
      </c>
      <c r="E38" s="24" t="s">
        <v>48</v>
      </c>
    </row>
    <row r="39" customFormat="false" ht="15" hidden="false" customHeight="true" outlineLevel="0" collapsed="false">
      <c r="A39" s="5" t="s">
        <v>765</v>
      </c>
      <c r="B39" s="5"/>
      <c r="C39" s="5"/>
      <c r="D39" s="12" t="str">
        <f aca="false">Parametreler!D11</f>
        <v>Hayır</v>
      </c>
      <c r="E39" s="24" t="s">
        <v>6</v>
      </c>
    </row>
    <row r="40" customFormat="false" ht="15" hidden="false" customHeight="true" outlineLevel="0" collapsed="false">
      <c r="A40" s="5" t="s">
        <v>766</v>
      </c>
      <c r="B40" s="5"/>
      <c r="C40" s="5"/>
      <c r="D40" s="27" t="n">
        <f aca="false">IF(OR(D39="Evet",Parametreler!D7="GV"),0,MAX(0,D37-D38))</f>
        <v>719251.646074074</v>
      </c>
    </row>
    <row r="41" customFormat="false" ht="15" hidden="false" customHeight="true" outlineLevel="0" collapsed="false">
      <c r="A41" s="5" t="s">
        <v>674</v>
      </c>
      <c r="B41" s="5"/>
      <c r="C41" s="5"/>
      <c r="D41" s="12" t="str">
        <f aca="false">IF(Parametreler!D7="GV","Gelir vergisi mükellefi – asgari kurumlar vergisi uygulanmaz",IF(D39="Evet","İlk üç hesap dönemi – asgari vergi uygulanmaz",IF(D40&gt;0,"Asgari vergi devreye giriyor: indirimlerin bir kısmının vergi etkisi kayboluyor","Hesaplanan vergi asgari vergiden yüksek – fark yok")))</f>
        <v>Asgari vergi devreye giriyor: indirimlerin bir kısmının vergi etkisi kayboluyor</v>
      </c>
      <c r="E41" s="12"/>
    </row>
    <row r="42" customFormat="false" ht="84" hidden="false" customHeight="true" outlineLevel="0" collapsed="false">
      <c r="A42" s="17" t="s">
        <v>767</v>
      </c>
      <c r="B42" s="17"/>
      <c r="C42" s="17"/>
      <c r="D42" s="17"/>
      <c r="E42" s="17"/>
    </row>
  </sheetData>
  <mergeCells count="34">
    <mergeCell ref="A6:C6"/>
    <mergeCell ref="A7:C7"/>
    <mergeCell ref="A8:C8"/>
    <mergeCell ref="A9:E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7:C27"/>
    <mergeCell ref="A28:C28"/>
    <mergeCell ref="A29:C29"/>
    <mergeCell ref="A30:C30"/>
    <mergeCell ref="A31:C31"/>
    <mergeCell ref="A34:C34"/>
    <mergeCell ref="A35:C35"/>
    <mergeCell ref="A36:C36"/>
    <mergeCell ref="A37:C37"/>
    <mergeCell ref="A38:C38"/>
    <mergeCell ref="A39:C39"/>
    <mergeCell ref="A40:C40"/>
    <mergeCell ref="A41:C41"/>
    <mergeCell ref="D41:E41"/>
    <mergeCell ref="A42:E4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3" min="2" style="1" width="4"/>
    <col collapsed="false" customWidth="true" hidden="false" outlineLevel="0" max="6" min="4" style="1" width="19"/>
    <col collapsed="false" customWidth="true" hidden="false" outlineLevel="0" max="7" min="7" style="1" width="34"/>
  </cols>
  <sheetData>
    <row r="1" customFormat="false" ht="17.25" hidden="false" customHeight="true" outlineLevel="0" collapsed="false">
      <c r="A1" s="18" t="s">
        <v>768</v>
      </c>
    </row>
    <row r="2" customFormat="false" ht="15" hidden="false" customHeight="true" outlineLevel="0" collapsed="false">
      <c r="A2" s="19" t="s">
        <v>769</v>
      </c>
    </row>
    <row r="3" customFormat="false" ht="15" hidden="false" customHeight="true" outlineLevel="0" collapsed="false">
      <c r="A3" s="20" t="s">
        <v>73</v>
      </c>
    </row>
    <row r="5" customFormat="false" ht="15" hidden="false" customHeight="true" outlineLevel="0" collapsed="false">
      <c r="A5" s="8" t="s">
        <v>770</v>
      </c>
      <c r="B5" s="9"/>
      <c r="C5" s="9"/>
      <c r="D5" s="9"/>
      <c r="E5" s="9"/>
      <c r="F5" s="9"/>
      <c r="G5" s="9"/>
    </row>
    <row r="6" customFormat="false" ht="42" hidden="false" customHeight="true" outlineLevel="0" collapsed="false">
      <c r="A6" s="4" t="s">
        <v>373</v>
      </c>
      <c r="B6" s="4"/>
      <c r="C6" s="4"/>
      <c r="D6" s="4" t="s">
        <v>771</v>
      </c>
      <c r="E6" s="4" t="s">
        <v>772</v>
      </c>
      <c r="F6" s="4" t="s">
        <v>773</v>
      </c>
      <c r="G6" s="4" t="s">
        <v>374</v>
      </c>
    </row>
    <row r="7" customFormat="false" ht="15" hidden="false" customHeight="true" outlineLevel="0" collapsed="false">
      <c r="A7" s="5" t="s">
        <v>385</v>
      </c>
      <c r="B7" s="5"/>
      <c r="C7" s="5"/>
      <c r="D7" s="27" t="n">
        <f aca="false">'Ek-3'!B27</f>
        <v>33750000</v>
      </c>
      <c r="F7" s="27" t="n">
        <f aca="false">D7</f>
        <v>33750000</v>
      </c>
      <c r="G7" s="6" t="s">
        <v>443</v>
      </c>
    </row>
    <row r="8" customFormat="false" ht="15" hidden="false" customHeight="true" outlineLevel="0" collapsed="false">
      <c r="A8" s="5" t="s">
        <v>736</v>
      </c>
      <c r="B8" s="5"/>
      <c r="C8" s="5"/>
      <c r="D8" s="27" t="n">
        <f aca="false">'Ek-2'!E43</f>
        <v>2100000</v>
      </c>
      <c r="F8" s="27" t="n">
        <f aca="false">F7+D8</f>
        <v>35850000</v>
      </c>
      <c r="G8" s="6" t="s">
        <v>737</v>
      </c>
    </row>
    <row r="9" customFormat="false" ht="15" hidden="false" customHeight="true" outlineLevel="0" collapsed="false">
      <c r="A9" s="31" t="s">
        <v>774</v>
      </c>
      <c r="B9" s="31"/>
      <c r="C9" s="31"/>
      <c r="D9" s="31"/>
      <c r="E9" s="31"/>
      <c r="F9" s="31"/>
      <c r="G9" s="31"/>
    </row>
    <row r="10" customFormat="false" ht="15" hidden="false" customHeight="true" outlineLevel="0" collapsed="false">
      <c r="A10" s="6" t="s">
        <v>775</v>
      </c>
      <c r="B10" s="6"/>
      <c r="C10" s="6"/>
      <c r="D10" s="33" t="n">
        <f aca="false">'Ek-11'!G13</f>
        <v>1000000</v>
      </c>
      <c r="E10" s="33" t="n">
        <f aca="false">D10</f>
        <v>1000000</v>
      </c>
      <c r="F10" s="27" t="n">
        <f aca="false">F8-E10</f>
        <v>34850000</v>
      </c>
      <c r="G10" s="6" t="s">
        <v>378</v>
      </c>
    </row>
    <row r="11" customFormat="false" ht="15" hidden="false" customHeight="true" outlineLevel="0" collapsed="false">
      <c r="A11" s="6" t="s">
        <v>776</v>
      </c>
      <c r="B11" s="6"/>
      <c r="C11" s="6"/>
      <c r="D11" s="33" t="n">
        <f aca="false">'Ek-11'!N23</f>
        <v>2100000</v>
      </c>
      <c r="E11" s="33" t="n">
        <f aca="false">D11</f>
        <v>2100000</v>
      </c>
      <c r="F11" s="27" t="n">
        <f aca="false">F10-E11</f>
        <v>32750000</v>
      </c>
      <c r="G11" s="6" t="s">
        <v>380</v>
      </c>
    </row>
    <row r="12" customFormat="false" ht="15" hidden="false" customHeight="true" outlineLevel="0" collapsed="false">
      <c r="A12" s="6" t="s">
        <v>777</v>
      </c>
      <c r="B12" s="6"/>
      <c r="C12" s="6"/>
      <c r="D12" s="33" t="n">
        <f aca="false">'Ek-10'!O15</f>
        <v>3950000</v>
      </c>
      <c r="E12" s="33" t="n">
        <f aca="false">D12</f>
        <v>3950000</v>
      </c>
      <c r="F12" s="27" t="n">
        <f aca="false">F11-E12</f>
        <v>28800000</v>
      </c>
      <c r="G12" s="6" t="s">
        <v>36</v>
      </c>
    </row>
    <row r="13" customFormat="false" ht="15" hidden="false" customHeight="true" outlineLevel="0" collapsed="false">
      <c r="A13" s="6" t="s">
        <v>302</v>
      </c>
      <c r="B13" s="6"/>
      <c r="C13" s="6"/>
      <c r="D13" s="33" t="n">
        <f aca="false">'Ek-7'!F19</f>
        <v>2500000</v>
      </c>
      <c r="E13" s="33" t="n">
        <f aca="false">D13</f>
        <v>2500000</v>
      </c>
      <c r="F13" s="27" t="n">
        <f aca="false">F12-E13</f>
        <v>26300000</v>
      </c>
      <c r="G13" s="6" t="s">
        <v>27</v>
      </c>
    </row>
    <row r="14" customFormat="false" ht="15" hidden="false" customHeight="true" outlineLevel="0" collapsed="false">
      <c r="A14" s="6" t="s">
        <v>314</v>
      </c>
      <c r="B14" s="6"/>
      <c r="C14" s="6"/>
      <c r="D14" s="26" t="n">
        <v>0</v>
      </c>
      <c r="E14" s="33" t="n">
        <f aca="false">D14</f>
        <v>0</v>
      </c>
      <c r="F14" s="27" t="n">
        <f aca="false">F13-E14</f>
        <v>26300000</v>
      </c>
      <c r="G14" s="6" t="s">
        <v>778</v>
      </c>
    </row>
    <row r="15" customFormat="false" ht="15" hidden="false" customHeight="true" outlineLevel="0" collapsed="false">
      <c r="A15" s="6" t="s">
        <v>779</v>
      </c>
      <c r="B15" s="6"/>
      <c r="C15" s="6"/>
      <c r="D15" s="26" t="n">
        <v>0</v>
      </c>
      <c r="E15" s="33" t="n">
        <f aca="false">MIN(D15,MAX(0,F14))</f>
        <v>0</v>
      </c>
      <c r="F15" s="27" t="n">
        <f aca="false">F14-E15</f>
        <v>26300000</v>
      </c>
      <c r="G15" s="6" t="s">
        <v>778</v>
      </c>
    </row>
    <row r="16" customFormat="false" ht="15" hidden="false" customHeight="true" outlineLevel="0" collapsed="false">
      <c r="A16" s="31" t="s">
        <v>780</v>
      </c>
      <c r="B16" s="31"/>
      <c r="C16" s="31"/>
      <c r="D16" s="31"/>
      <c r="E16" s="31"/>
      <c r="F16" s="31"/>
      <c r="G16" s="31"/>
    </row>
    <row r="17" customFormat="false" ht="15" hidden="false" customHeight="true" outlineLevel="0" collapsed="false">
      <c r="A17" s="6" t="s">
        <v>304</v>
      </c>
      <c r="B17" s="6"/>
      <c r="C17" s="6"/>
      <c r="D17" s="33" t="n">
        <f aca="false">'Ek-6'!D29</f>
        <v>5501960</v>
      </c>
      <c r="E17" s="33" t="n">
        <f aca="false">MIN(D17,MAX(0,F15))</f>
        <v>5501960</v>
      </c>
      <c r="F17" s="27" t="n">
        <f aca="false">F15-E17</f>
        <v>20798040</v>
      </c>
      <c r="G17" s="6" t="s">
        <v>781</v>
      </c>
    </row>
    <row r="18" customFormat="false" ht="15" hidden="false" customHeight="true" outlineLevel="0" collapsed="false">
      <c r="A18" s="6" t="s">
        <v>307</v>
      </c>
      <c r="B18" s="6"/>
      <c r="C18" s="6"/>
      <c r="D18" s="33" t="n">
        <f aca="false">'Ek-12'!D22</f>
        <v>250000</v>
      </c>
      <c r="E18" s="33" t="n">
        <f aca="false">MIN(D18,MAX(0,F17))</f>
        <v>250000</v>
      </c>
      <c r="F18" s="27" t="n">
        <f aca="false">F17-E18</f>
        <v>20548040</v>
      </c>
      <c r="G18" s="6" t="s">
        <v>782</v>
      </c>
    </row>
    <row r="19" customFormat="false" ht="15" hidden="false" customHeight="true" outlineLevel="0" collapsed="false">
      <c r="A19" s="6" t="s">
        <v>308</v>
      </c>
      <c r="B19" s="6"/>
      <c r="C19" s="6"/>
      <c r="D19" s="33" t="n">
        <f aca="false">'Ek-12'!D28</f>
        <v>1127402</v>
      </c>
      <c r="E19" s="33" t="n">
        <f aca="false">MIN(D19,MAX(0,F18))</f>
        <v>1127402</v>
      </c>
      <c r="F19" s="27" t="n">
        <f aca="false">F18-E19</f>
        <v>19420638</v>
      </c>
      <c r="G19" s="6" t="s">
        <v>782</v>
      </c>
    </row>
    <row r="20" customFormat="false" ht="15" hidden="false" customHeight="true" outlineLevel="0" collapsed="false">
      <c r="A20" s="6" t="s">
        <v>310</v>
      </c>
      <c r="B20" s="6"/>
      <c r="C20" s="6"/>
      <c r="D20" s="33" t="n">
        <f aca="false">'Ek-4'!D33</f>
        <v>5600000</v>
      </c>
      <c r="E20" s="33" t="n">
        <f aca="false">MIN(D20,MAX(0,F19))</f>
        <v>5600000</v>
      </c>
      <c r="F20" s="27" t="n">
        <f aca="false">F19-E20</f>
        <v>13820638</v>
      </c>
      <c r="G20" s="6" t="s">
        <v>783</v>
      </c>
    </row>
    <row r="21" customFormat="false" ht="15" hidden="false" customHeight="true" outlineLevel="0" collapsed="false">
      <c r="A21" s="6" t="s">
        <v>312</v>
      </c>
      <c r="B21" s="6"/>
      <c r="C21" s="6"/>
      <c r="D21" s="33" t="n">
        <f aca="false">'Ek-9'!D21</f>
        <v>755666.666666667</v>
      </c>
      <c r="E21" s="33" t="n">
        <f aca="false">MIN(D21,MAX(0,F20))</f>
        <v>755666.666666667</v>
      </c>
      <c r="F21" s="27" t="n">
        <f aca="false">F20-E21</f>
        <v>13064971.3333333</v>
      </c>
      <c r="G21" s="6" t="s">
        <v>784</v>
      </c>
    </row>
    <row r="22" customFormat="false" ht="15" hidden="false" customHeight="true" outlineLevel="0" collapsed="false">
      <c r="A22" s="6" t="s">
        <v>317</v>
      </c>
      <c r="B22" s="6"/>
      <c r="C22" s="6"/>
      <c r="D22" s="26" t="n">
        <v>0</v>
      </c>
      <c r="E22" s="33" t="n">
        <f aca="false">MIN(D22,MAX(0,F21))</f>
        <v>0</v>
      </c>
      <c r="F22" s="27" t="n">
        <f aca="false">F21-E22</f>
        <v>13064971.3333333</v>
      </c>
      <c r="G22" s="6" t="s">
        <v>778</v>
      </c>
    </row>
    <row r="23" customFormat="false" ht="15" hidden="false" customHeight="true" outlineLevel="0" collapsed="false">
      <c r="A23" s="31" t="s">
        <v>785</v>
      </c>
      <c r="B23" s="31"/>
      <c r="C23" s="31"/>
      <c r="D23" s="27" t="n">
        <f aca="false">MAX(0,F22)</f>
        <v>13064971.3333333</v>
      </c>
    </row>
    <row r="24" customFormat="false" ht="15" hidden="false" customHeight="true" outlineLevel="0" collapsed="false">
      <c r="A24" s="5" t="s">
        <v>786</v>
      </c>
      <c r="B24" s="5"/>
      <c r="C24" s="5"/>
      <c r="D24" s="27" t="n">
        <f aca="false">MAX(0,-F15)</f>
        <v>0</v>
      </c>
    </row>
    <row r="26" customFormat="false" ht="15" hidden="false" customHeight="true" outlineLevel="0" collapsed="false">
      <c r="A26" s="8" t="s">
        <v>787</v>
      </c>
      <c r="B26" s="9"/>
      <c r="C26" s="9"/>
      <c r="D26" s="9"/>
      <c r="E26" s="9"/>
      <c r="F26" s="9"/>
      <c r="G26" s="9"/>
    </row>
    <row r="27" customFormat="false" ht="15" hidden="false" customHeight="true" outlineLevel="0" collapsed="false">
      <c r="A27" s="5" t="s">
        <v>788</v>
      </c>
      <c r="B27" s="5"/>
      <c r="C27" s="5"/>
      <c r="D27" s="27" t="n">
        <f aca="false">'Ek-5'!D21</f>
        <v>3124754.03267161</v>
      </c>
      <c r="G27" s="6" t="s">
        <v>21</v>
      </c>
    </row>
    <row r="28" customFormat="false" ht="15" hidden="false" customHeight="true" outlineLevel="0" collapsed="false">
      <c r="A28" s="5" t="s">
        <v>789</v>
      </c>
      <c r="B28" s="5"/>
      <c r="C28" s="5"/>
      <c r="D28" s="27" t="n">
        <f aca="false">'Ek-8'!J24</f>
        <v>1300690.47940741</v>
      </c>
      <c r="G28" s="6" t="s">
        <v>30</v>
      </c>
    </row>
    <row r="29" customFormat="false" ht="15" hidden="false" customHeight="true" outlineLevel="0" collapsed="false">
      <c r="A29" s="5" t="s">
        <v>790</v>
      </c>
      <c r="B29" s="5"/>
      <c r="C29" s="5"/>
      <c r="D29" s="27" t="n">
        <f aca="false">MAX(0,D27-D28)</f>
        <v>1824063.5532642</v>
      </c>
      <c r="G29" s="6"/>
    </row>
    <row r="30" customFormat="false" ht="15" hidden="false" customHeight="true" outlineLevel="0" collapsed="false">
      <c r="A30" s="5" t="s">
        <v>791</v>
      </c>
      <c r="B30" s="5"/>
      <c r="C30" s="5"/>
      <c r="D30" s="27" t="n">
        <f aca="false">'Ek-13'!D40</f>
        <v>719251.646074074</v>
      </c>
      <c r="G30" s="6" t="s">
        <v>45</v>
      </c>
    </row>
    <row r="31" customFormat="false" ht="15" hidden="false" customHeight="true" outlineLevel="0" collapsed="false">
      <c r="A31" s="5" t="s">
        <v>792</v>
      </c>
      <c r="B31" s="5"/>
      <c r="C31" s="5"/>
      <c r="D31" s="27" t="n">
        <f aca="false">D29+D30</f>
        <v>2543315.19933827</v>
      </c>
      <c r="G31" s="6"/>
    </row>
    <row r="32" customFormat="false" ht="21.75" hidden="false" customHeight="true" outlineLevel="0" collapsed="false">
      <c r="A32" s="46" t="s">
        <v>793</v>
      </c>
    </row>
    <row r="33" customFormat="false" ht="15" hidden="false" customHeight="true" outlineLevel="0" collapsed="false">
      <c r="A33" s="8" t="s">
        <v>794</v>
      </c>
      <c r="B33" s="9"/>
      <c r="C33" s="9"/>
      <c r="D33" s="9"/>
      <c r="E33" s="9"/>
      <c r="F33" s="9"/>
      <c r="G33" s="9"/>
    </row>
    <row r="34" customFormat="false" ht="42" hidden="false" customHeight="true" outlineLevel="0" collapsed="false">
      <c r="A34" s="4" t="s">
        <v>373</v>
      </c>
      <c r="B34" s="4"/>
      <c r="C34" s="4"/>
      <c r="D34" s="4" t="s">
        <v>795</v>
      </c>
      <c r="E34" s="4" t="s">
        <v>796</v>
      </c>
      <c r="F34" s="4" t="s">
        <v>797</v>
      </c>
      <c r="G34" s="4" t="s">
        <v>94</v>
      </c>
    </row>
    <row r="35" customFormat="false" ht="23.25" hidden="false" customHeight="true" outlineLevel="0" collapsed="false">
      <c r="A35" s="6" t="s">
        <v>798</v>
      </c>
      <c r="B35" s="6"/>
      <c r="C35" s="6"/>
      <c r="D35" s="33" t="n">
        <f aca="false">MAX(0,F8-E15)</f>
        <v>35850000</v>
      </c>
      <c r="E35" s="33" t="n">
        <f aca="false">D23</f>
        <v>13064971.3333333</v>
      </c>
      <c r="F35" s="27" t="n">
        <f aca="false">D35-E35</f>
        <v>22785028.6666667</v>
      </c>
      <c r="G35" s="6" t="s">
        <v>799</v>
      </c>
    </row>
    <row r="36" customFormat="false" ht="23.25" hidden="false" customHeight="true" outlineLevel="0" collapsed="false">
      <c r="A36" s="6" t="s">
        <v>800</v>
      </c>
      <c r="B36" s="6"/>
      <c r="C36" s="6"/>
      <c r="D36" s="33" t="n">
        <f aca="false">D35*Parametreler!D8</f>
        <v>8962500</v>
      </c>
      <c r="E36" s="33" t="n">
        <f aca="false">D29</f>
        <v>1824063.5532642</v>
      </c>
      <c r="F36" s="27" t="n">
        <f aca="false">D36-E36</f>
        <v>7138436.4467358</v>
      </c>
      <c r="G36" s="6" t="s">
        <v>801</v>
      </c>
    </row>
    <row r="37" customFormat="false" ht="15" hidden="false" customHeight="true" outlineLevel="0" collapsed="false">
      <c r="A37" s="6" t="s">
        <v>802</v>
      </c>
      <c r="B37" s="6"/>
      <c r="C37" s="6"/>
      <c r="D37" s="33" t="n">
        <f aca="false">0</f>
        <v>0</v>
      </c>
      <c r="E37" s="33" t="n">
        <f aca="false">D30</f>
        <v>719251.646074074</v>
      </c>
      <c r="F37" s="27" t="n">
        <f aca="false">D37-E37</f>
        <v>-719251.646074074</v>
      </c>
      <c r="G37" s="6" t="s">
        <v>803</v>
      </c>
    </row>
    <row r="38" customFormat="false" ht="15" hidden="false" customHeight="true" outlineLevel="0" collapsed="false">
      <c r="A38" s="5" t="s">
        <v>804</v>
      </c>
      <c r="B38" s="5"/>
      <c r="C38" s="5"/>
      <c r="D38" s="27" t="n">
        <f aca="false">D36+D37</f>
        <v>8962500</v>
      </c>
      <c r="E38" s="27" t="n">
        <f aca="false">E36+E37</f>
        <v>2543315.19933827</v>
      </c>
      <c r="F38" s="27" t="n">
        <f aca="false">D38-E38</f>
        <v>6419184.80066173</v>
      </c>
      <c r="G38" s="6" t="s">
        <v>805</v>
      </c>
    </row>
    <row r="39" customFormat="false" ht="30" hidden="false" customHeight="true" outlineLevel="0" collapsed="false">
      <c r="A39" s="17" t="s">
        <v>806</v>
      </c>
      <c r="B39" s="17"/>
      <c r="C39" s="17"/>
      <c r="D39" s="17"/>
      <c r="E39" s="17"/>
      <c r="F39" s="17"/>
      <c r="G39" s="17"/>
    </row>
    <row r="41" customFormat="false" ht="42" hidden="false" customHeight="true" outlineLevel="0" collapsed="false">
      <c r="A41" s="4" t="s">
        <v>807</v>
      </c>
      <c r="B41" s="4"/>
      <c r="C41" s="4"/>
      <c r="D41" s="4" t="s">
        <v>772</v>
      </c>
      <c r="E41" s="4" t="s">
        <v>808</v>
      </c>
      <c r="F41" s="4" t="s">
        <v>809</v>
      </c>
      <c r="G41" s="4"/>
    </row>
    <row r="42" customFormat="false" ht="15" hidden="false" customHeight="true" outlineLevel="0" collapsed="false">
      <c r="A42" s="6" t="s">
        <v>810</v>
      </c>
      <c r="B42" s="6"/>
      <c r="C42" s="6"/>
      <c r="D42" s="33" t="n">
        <f aca="false">E10</f>
        <v>1000000</v>
      </c>
      <c r="E42" s="6" t="s">
        <v>811</v>
      </c>
      <c r="F42" s="33" t="n">
        <f aca="false">D42*Parametreler!D8</f>
        <v>250000</v>
      </c>
    </row>
    <row r="43" customFormat="false" ht="15" hidden="false" customHeight="true" outlineLevel="0" collapsed="false">
      <c r="A43" s="6" t="s">
        <v>812</v>
      </c>
      <c r="B43" s="6"/>
      <c r="C43" s="6"/>
      <c r="D43" s="33" t="n">
        <f aca="false">E11</f>
        <v>2100000</v>
      </c>
      <c r="E43" s="6" t="s">
        <v>813</v>
      </c>
      <c r="F43" s="33" t="n">
        <f aca="false">D43*Parametreler!D8</f>
        <v>525000</v>
      </c>
    </row>
    <row r="44" customFormat="false" ht="15" hidden="false" customHeight="true" outlineLevel="0" collapsed="false">
      <c r="A44" s="6" t="s">
        <v>814</v>
      </c>
      <c r="B44" s="6"/>
      <c r="C44" s="6"/>
      <c r="D44" s="33" t="n">
        <f aca="false">E12</f>
        <v>3950000</v>
      </c>
      <c r="E44" s="6" t="s">
        <v>813</v>
      </c>
      <c r="F44" s="33" t="n">
        <f aca="false">D44*Parametreler!D8</f>
        <v>987500</v>
      </c>
    </row>
    <row r="45" customFormat="false" ht="15" hidden="false" customHeight="true" outlineLevel="0" collapsed="false">
      <c r="A45" s="6" t="s">
        <v>815</v>
      </c>
      <c r="B45" s="6"/>
      <c r="C45" s="6"/>
      <c r="D45" s="33" t="n">
        <f aca="false">E13</f>
        <v>2500000</v>
      </c>
      <c r="E45" s="6" t="s">
        <v>811</v>
      </c>
      <c r="F45" s="33" t="n">
        <f aca="false">D45*Parametreler!D8</f>
        <v>625000</v>
      </c>
    </row>
    <row r="46" customFormat="false" ht="15" hidden="false" customHeight="true" outlineLevel="0" collapsed="false">
      <c r="A46" s="6" t="s">
        <v>304</v>
      </c>
      <c r="B46" s="6"/>
      <c r="C46" s="6"/>
      <c r="D46" s="33" t="n">
        <f aca="false">E17</f>
        <v>5501960</v>
      </c>
      <c r="E46" s="6" t="s">
        <v>811</v>
      </c>
      <c r="F46" s="33" t="n">
        <f aca="false">D46*Parametreler!D8</f>
        <v>1375490</v>
      </c>
    </row>
    <row r="47" customFormat="false" ht="15" hidden="false" customHeight="true" outlineLevel="0" collapsed="false">
      <c r="A47" s="6" t="s">
        <v>816</v>
      </c>
      <c r="B47" s="6"/>
      <c r="C47" s="6"/>
      <c r="D47" s="33" t="n">
        <f aca="false">E18</f>
        <v>250000</v>
      </c>
      <c r="E47" s="6" t="s">
        <v>813</v>
      </c>
      <c r="F47" s="33" t="n">
        <f aca="false">D47*Parametreler!D8</f>
        <v>62500</v>
      </c>
    </row>
    <row r="48" customFormat="false" ht="15" hidden="false" customHeight="true" outlineLevel="0" collapsed="false">
      <c r="A48" s="6" t="s">
        <v>308</v>
      </c>
      <c r="B48" s="6"/>
      <c r="C48" s="6"/>
      <c r="D48" s="33" t="n">
        <f aca="false">E19</f>
        <v>1127402</v>
      </c>
      <c r="E48" s="6" t="s">
        <v>813</v>
      </c>
      <c r="F48" s="33" t="n">
        <f aca="false">D48*Parametreler!D8</f>
        <v>281850.5</v>
      </c>
    </row>
    <row r="49" customFormat="false" ht="15" hidden="false" customHeight="true" outlineLevel="0" collapsed="false">
      <c r="A49" s="6" t="s">
        <v>351</v>
      </c>
      <c r="B49" s="6"/>
      <c r="C49" s="6"/>
      <c r="D49" s="33" t="n">
        <f aca="false">E20</f>
        <v>5600000</v>
      </c>
      <c r="E49" s="6" t="s">
        <v>813</v>
      </c>
      <c r="F49" s="33" t="n">
        <f aca="false">D49*Parametreler!D8</f>
        <v>1400000</v>
      </c>
    </row>
    <row r="50" customFormat="false" ht="15" hidden="false" customHeight="true" outlineLevel="0" collapsed="false">
      <c r="A50" s="6" t="s">
        <v>817</v>
      </c>
      <c r="B50" s="6"/>
      <c r="C50" s="6"/>
      <c r="D50" s="33" t="n">
        <f aca="false">E21</f>
        <v>755666.666666667</v>
      </c>
      <c r="E50" s="6" t="s">
        <v>813</v>
      </c>
      <c r="F50" s="33" t="n">
        <f aca="false">D50*Parametreler!D8</f>
        <v>188916.666666667</v>
      </c>
    </row>
    <row r="51" customFormat="false" ht="15" hidden="false" customHeight="true" outlineLevel="0" collapsed="false">
      <c r="A51" s="31" t="s">
        <v>173</v>
      </c>
      <c r="B51" s="31"/>
      <c r="C51" s="31"/>
      <c r="D51" s="27" t="n">
        <f aca="false">SUM(D42:D50)</f>
        <v>22785028.6666667</v>
      </c>
      <c r="F51" s="27" t="n">
        <f aca="false">SUM(F42:F50)</f>
        <v>5696257.16666667</v>
      </c>
    </row>
    <row r="53" customFormat="false" ht="15" hidden="false" customHeight="true" outlineLevel="0" collapsed="false">
      <c r="A53" s="8" t="s">
        <v>818</v>
      </c>
      <c r="B53" s="9"/>
      <c r="C53" s="9"/>
      <c r="D53" s="9"/>
      <c r="E53" s="9"/>
      <c r="F53" s="9"/>
      <c r="G53" s="9"/>
    </row>
    <row r="54" customFormat="false" ht="42" hidden="false" customHeight="true" outlineLevel="0" collapsed="false">
      <c r="A54" s="4" t="s">
        <v>373</v>
      </c>
      <c r="B54" s="4"/>
      <c r="C54" s="4"/>
      <c r="D54" s="4" t="s">
        <v>819</v>
      </c>
      <c r="E54" s="4" t="s">
        <v>820</v>
      </c>
      <c r="F54" s="4" t="s">
        <v>821</v>
      </c>
      <c r="G54" s="4" t="s">
        <v>822</v>
      </c>
    </row>
    <row r="55" customFormat="false" ht="23.25" hidden="false" customHeight="true" outlineLevel="0" collapsed="false">
      <c r="A55" s="6" t="s">
        <v>304</v>
      </c>
      <c r="B55" s="6"/>
      <c r="C55" s="6"/>
      <c r="D55" s="33" t="n">
        <f aca="false">D17</f>
        <v>5501960</v>
      </c>
      <c r="E55" s="33" t="n">
        <f aca="false">E17</f>
        <v>5501960</v>
      </c>
      <c r="F55" s="27" t="n">
        <f aca="false">D17-E17</f>
        <v>0</v>
      </c>
      <c r="G55" s="6" t="s">
        <v>823</v>
      </c>
    </row>
    <row r="56" customFormat="false" ht="15" hidden="false" customHeight="true" outlineLevel="0" collapsed="false">
      <c r="A56" s="6" t="s">
        <v>824</v>
      </c>
      <c r="B56" s="6"/>
      <c r="C56" s="6"/>
      <c r="D56" s="33" t="n">
        <f aca="false">D21</f>
        <v>755666.666666667</v>
      </c>
      <c r="E56" s="33" t="n">
        <f aca="false">E21</f>
        <v>755666.666666667</v>
      </c>
      <c r="F56" s="27" t="n">
        <f aca="false">'Ek-9'!D23</f>
        <v>0</v>
      </c>
      <c r="G56" s="6" t="s">
        <v>825</v>
      </c>
    </row>
    <row r="57" customFormat="false" ht="15" hidden="false" customHeight="true" outlineLevel="0" collapsed="false">
      <c r="A57" s="6" t="s">
        <v>826</v>
      </c>
      <c r="B57" s="6"/>
      <c r="C57" s="6"/>
      <c r="D57" s="33" t="n">
        <f aca="false">'Ek-8'!I24</f>
        <v>1300690.47940741</v>
      </c>
      <c r="E57" s="33" t="n">
        <f aca="false">'Ek-8'!J24</f>
        <v>1300690.47940741</v>
      </c>
      <c r="F57" s="27" t="n">
        <f aca="false">'Ek-8'!L24</f>
        <v>10699309.5205926</v>
      </c>
      <c r="G57" s="33" t="n">
        <f aca="false">'Ek-8'!K24</f>
        <v>0</v>
      </c>
    </row>
    <row r="58" customFormat="false" ht="34.5" hidden="false" customHeight="true" outlineLevel="0" collapsed="false">
      <c r="A58" s="6" t="s">
        <v>827</v>
      </c>
      <c r="B58" s="6"/>
      <c r="C58" s="6"/>
      <c r="D58" s="33" t="n">
        <f aca="false">D15</f>
        <v>0</v>
      </c>
      <c r="E58" s="33" t="n">
        <f aca="false">E15</f>
        <v>0</v>
      </c>
      <c r="F58" s="27" t="n">
        <f aca="false">D15-E15+D24</f>
        <v>0</v>
      </c>
      <c r="G58" s="6" t="s">
        <v>828</v>
      </c>
    </row>
    <row r="59" customFormat="false" ht="15" hidden="false" customHeight="true" outlineLevel="0" collapsed="false">
      <c r="A59" s="6" t="s">
        <v>816</v>
      </c>
      <c r="B59" s="6"/>
      <c r="C59" s="6"/>
      <c r="D59" s="33" t="n">
        <f aca="false">D18</f>
        <v>250000</v>
      </c>
      <c r="E59" s="33" t="n">
        <f aca="false">E18</f>
        <v>250000</v>
      </c>
      <c r="F59" s="27" t="n">
        <f aca="false">0</f>
        <v>0</v>
      </c>
      <c r="G59" s="33" t="n">
        <f aca="false">D18-E18</f>
        <v>0</v>
      </c>
    </row>
    <row r="60" customFormat="false" ht="15" hidden="false" customHeight="true" outlineLevel="0" collapsed="false">
      <c r="A60" s="6" t="s">
        <v>829</v>
      </c>
      <c r="B60" s="6"/>
      <c r="C60" s="6"/>
      <c r="D60" s="33" t="n">
        <f aca="false">'Ek-12'!D25+'Ek-12'!D27</f>
        <v>1300000</v>
      </c>
      <c r="E60" s="33" t="n">
        <f aca="false">E19</f>
        <v>1127402</v>
      </c>
      <c r="F60" s="27" t="n">
        <f aca="false">0</f>
        <v>0</v>
      </c>
      <c r="G60" s="33" t="n">
        <f aca="false">D60-E60</f>
        <v>172598</v>
      </c>
    </row>
    <row r="61" customFormat="false" ht="15" hidden="false" customHeight="true" outlineLevel="0" collapsed="false">
      <c r="A61" s="6" t="s">
        <v>310</v>
      </c>
      <c r="B61" s="6"/>
      <c r="C61" s="6"/>
      <c r="D61" s="33" t="n">
        <f aca="false">D20</f>
        <v>5600000</v>
      </c>
      <c r="E61" s="33" t="n">
        <f aca="false">E20</f>
        <v>5600000</v>
      </c>
      <c r="F61" s="27" t="n">
        <f aca="false">0</f>
        <v>0</v>
      </c>
      <c r="G61" s="33" t="n">
        <f aca="false">D20-E20</f>
        <v>0</v>
      </c>
    </row>
    <row r="62" customFormat="false" ht="30" hidden="false" customHeight="true" outlineLevel="0" collapsed="false">
      <c r="A62" s="17" t="s">
        <v>830</v>
      </c>
      <c r="B62" s="17"/>
      <c r="C62" s="17"/>
      <c r="D62" s="17"/>
      <c r="E62" s="17"/>
      <c r="F62" s="17"/>
      <c r="G62" s="17"/>
    </row>
  </sheetData>
  <mergeCells count="46">
    <mergeCell ref="A7:C7"/>
    <mergeCell ref="A8:C8"/>
    <mergeCell ref="A9:G9"/>
    <mergeCell ref="A10:C10"/>
    <mergeCell ref="A11:C11"/>
    <mergeCell ref="A12:C12"/>
    <mergeCell ref="A13:C13"/>
    <mergeCell ref="A14:C14"/>
    <mergeCell ref="A15:C15"/>
    <mergeCell ref="A16:G16"/>
    <mergeCell ref="A17:C17"/>
    <mergeCell ref="A18:C18"/>
    <mergeCell ref="A19:C19"/>
    <mergeCell ref="A20:C20"/>
    <mergeCell ref="A21:C21"/>
    <mergeCell ref="A22:C22"/>
    <mergeCell ref="A23:C23"/>
    <mergeCell ref="A24:C24"/>
    <mergeCell ref="A27:C27"/>
    <mergeCell ref="A28:C28"/>
    <mergeCell ref="A29:C29"/>
    <mergeCell ref="A30:C30"/>
    <mergeCell ref="A31:C31"/>
    <mergeCell ref="A35:C35"/>
    <mergeCell ref="A36:C36"/>
    <mergeCell ref="A37:C37"/>
    <mergeCell ref="A38:C38"/>
    <mergeCell ref="A39:G39"/>
    <mergeCell ref="A42:C42"/>
    <mergeCell ref="A43:C43"/>
    <mergeCell ref="A44:C44"/>
    <mergeCell ref="A45:C45"/>
    <mergeCell ref="A46:C46"/>
    <mergeCell ref="A47:C47"/>
    <mergeCell ref="A48:C48"/>
    <mergeCell ref="A49:C49"/>
    <mergeCell ref="A50:C50"/>
    <mergeCell ref="A51:C51"/>
    <mergeCell ref="A55:C55"/>
    <mergeCell ref="A56:C56"/>
    <mergeCell ref="A57:C57"/>
    <mergeCell ref="A58:C58"/>
    <mergeCell ref="A59:C59"/>
    <mergeCell ref="A60:C60"/>
    <mergeCell ref="A61:C61"/>
    <mergeCell ref="A62:G6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2026-11-02T23:59:32Z</dcterms:created>
  <dc:creator>openpyxl</dc:creator>
  <dc:description/>
  <dc:language>en-US</dc:language>
  <cp:lastModifiedBy/>
  <dcterms:modified xsi:type="dcterms:W3CDTF">2026-11-02T23:59:35Z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